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6\x018 - Cherri Morton\"/>
    </mc:Choice>
  </mc:AlternateContent>
  <xr:revisionPtr revIDLastSave="0" documentId="13_ncr:1_{84A8A49C-A852-4B3B-A4F0-1413DC20E559}" xr6:coauthVersionLast="47" xr6:coauthVersionMax="47" xr10:uidLastSave="{00000000-0000-0000-0000-000000000000}"/>
  <bookViews>
    <workbookView xWindow="22932" yWindow="-192" windowWidth="23256" windowHeight="12456" activeTab="1" xr2:uid="{260A762B-E942-4A40-AAE5-7E980C9B525F}"/>
  </bookViews>
  <sheets>
    <sheet name="Employees" sheetId="1" r:id="rId1"/>
    <sheet name=" Fees (MS)" sheetId="3" r:id="rId2"/>
    <sheet name="Dat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3" l="1"/>
  <c r="H26" i="3"/>
  <c r="G26" i="3"/>
  <c r="H52" i="3"/>
  <c r="H48" i="3"/>
  <c r="H47" i="3"/>
  <c r="H46" i="3" s="1"/>
  <c r="H42" i="3"/>
  <c r="H41" i="3" s="1"/>
  <c r="H22" i="3"/>
  <c r="G22" i="3"/>
  <c r="H21" i="3"/>
  <c r="G21" i="3"/>
  <c r="F16" i="3"/>
  <c r="G16" i="3" s="1"/>
  <c r="H18" i="3"/>
  <c r="H17" i="3"/>
  <c r="G17" i="3"/>
  <c r="H25" i="3"/>
  <c r="H28" i="3"/>
  <c r="H54" i="3"/>
  <c r="D36" i="1"/>
  <c r="D34" i="1"/>
  <c r="H20" i="3" l="1"/>
  <c r="H24" i="3"/>
  <c r="H16" i="3"/>
  <c r="H15" i="3" s="1"/>
  <c r="G21" i="1"/>
  <c r="G15" i="1"/>
  <c r="H15" i="1" s="1"/>
  <c r="C21" i="1" s="1"/>
  <c r="G27" i="3"/>
  <c r="G25" i="3"/>
  <c r="H51" i="3"/>
  <c r="H53" i="3"/>
  <c r="H50" i="3" s="1"/>
  <c r="H56" i="3" s="1"/>
  <c r="H57" i="3" s="1"/>
  <c r="O28" i="1"/>
  <c r="O41" i="1"/>
  <c r="O44" i="1" s="1"/>
  <c r="D33" i="1" s="1"/>
  <c r="O37" i="1"/>
  <c r="O36" i="1"/>
  <c r="O35" i="1"/>
  <c r="N34" i="1"/>
  <c r="O34" i="1" s="1"/>
  <c r="O29" i="1"/>
  <c r="C42" i="1"/>
  <c r="N27" i="1" s="1"/>
  <c r="O27" i="1" s="1"/>
  <c r="D35" i="1"/>
  <c r="D30" i="1"/>
  <c r="G14" i="1"/>
  <c r="H14" i="1" s="1"/>
  <c r="J42" i="1" s="1"/>
  <c r="G13" i="1"/>
  <c r="H13" i="1" s="1"/>
  <c r="D42" i="1" s="1"/>
  <c r="H32" i="3" l="1"/>
  <c r="J26" i="1"/>
  <c r="O38" i="1"/>
  <c r="J25" i="1" s="1"/>
  <c r="H65" i="3" l="1"/>
  <c r="G30" i="3"/>
  <c r="G31" i="3"/>
  <c r="G28" i="3"/>
  <c r="G15" i="3" s="1"/>
  <c r="G69" i="3" l="1"/>
  <c r="C14" i="2" l="1"/>
  <c r="C15" i="2" s="1"/>
  <c r="K63" i="2"/>
  <c r="K44" i="3"/>
  <c r="M70" i="3"/>
  <c r="M69" i="3"/>
  <c r="M68" i="3"/>
  <c r="M67" i="3"/>
  <c r="M66" i="3"/>
  <c r="M65" i="3"/>
  <c r="M64" i="3"/>
  <c r="M63" i="3"/>
  <c r="L63" i="2" l="1"/>
  <c r="H58" i="3"/>
  <c r="L64" i="2"/>
  <c r="H69" i="3"/>
  <c r="M71" i="3"/>
  <c r="L65" i="2" l="1"/>
  <c r="K64" i="2" s="1"/>
  <c r="E71" i="3"/>
  <c r="E76" i="3" s="1"/>
  <c r="E77" i="3" s="1"/>
  <c r="E5" i="2"/>
  <c r="E78" i="3" l="1"/>
  <c r="E80" i="3" s="1"/>
  <c r="K25" i="2"/>
  <c r="K44" i="2"/>
  <c r="F83" i="3" l="1"/>
  <c r="H83" i="3" s="1"/>
  <c r="F86" i="3"/>
  <c r="H86" i="3" s="1"/>
  <c r="F89" i="3"/>
  <c r="F87" i="3"/>
  <c r="F84" i="3"/>
  <c r="H84" i="3" s="1"/>
  <c r="F88" i="3"/>
  <c r="H88" i="3" s="1"/>
  <c r="F85" i="3"/>
  <c r="H85" i="3" s="1"/>
  <c r="L45" i="2"/>
  <c r="L44" i="2"/>
  <c r="L26" i="2"/>
  <c r="L25" i="2"/>
  <c r="C16" i="2"/>
  <c r="C18" i="2" s="1"/>
  <c r="H87" i="3" l="1"/>
  <c r="H92" i="3"/>
  <c r="H89" i="3"/>
  <c r="L27" i="2"/>
  <c r="K26" i="2" s="1"/>
  <c r="Q9" i="2"/>
  <c r="Q11" i="2"/>
  <c r="W11" i="2" s="1"/>
  <c r="S11" i="2" s="1"/>
  <c r="Q10" i="2"/>
  <c r="W10" i="2" s="1"/>
  <c r="S10" i="2" s="1"/>
  <c r="Q12" i="2"/>
  <c r="W12" i="2" s="1"/>
  <c r="S12" i="2" s="1"/>
  <c r="L46" i="2"/>
  <c r="K45" i="2" s="1"/>
  <c r="H91" i="3" l="1"/>
  <c r="H94" i="3" s="1"/>
  <c r="Q14" i="2"/>
  <c r="W9" i="2"/>
  <c r="S9" i="2" s="1"/>
  <c r="S15" i="2" s="1"/>
  <c r="F15" i="3" l="1"/>
  <c r="M15" i="3" l="1"/>
  <c r="O31" i="1"/>
  <c r="D37" i="1" s="1"/>
  <c r="J30" i="1" l="1"/>
  <c r="J29" i="1"/>
  <c r="J28" i="1"/>
  <c r="J27" i="1"/>
  <c r="D39" i="1"/>
  <c r="D40" i="1" l="1"/>
  <c r="D44" i="1" s="1"/>
  <c r="J39" i="1"/>
  <c r="J40" i="1" s="1"/>
  <c r="J44" i="1" s="1"/>
  <c r="J46" i="1" s="1"/>
  <c r="D46" i="1" l="1"/>
  <c r="D47" i="1" s="1"/>
  <c r="J47" i="1"/>
  <c r="C19" i="1" l="1"/>
  <c r="G19" i="1" s="1"/>
  <c r="C20" i="1"/>
  <c r="G20" i="1" s="1"/>
  <c r="F5" i="2" l="1"/>
  <c r="G5" i="2" s="1"/>
  <c r="H5" i="2" s="1"/>
  <c r="H33" i="3" l="1"/>
  <c r="H34" i="3" s="1"/>
  <c r="J32" i="3" s="1"/>
  <c r="M17" i="3" l="1"/>
  <c r="L42" i="3"/>
  <c r="K32" i="3"/>
  <c r="L32" i="3" s="1"/>
  <c r="N32" i="3" s="1"/>
  <c r="M32" i="3" s="1"/>
  <c r="M34" i="3" s="1"/>
  <c r="M36" i="3" s="1"/>
  <c r="L43" i="3"/>
  <c r="L41" i="3"/>
  <c r="L44" i="3" l="1"/>
</calcChain>
</file>

<file path=xl/sharedStrings.xml><?xml version="1.0" encoding="utf-8"?>
<sst xmlns="http://schemas.openxmlformats.org/spreadsheetml/2006/main" count="278" uniqueCount="179">
  <si>
    <t>Position</t>
  </si>
  <si>
    <t>Name</t>
  </si>
  <si>
    <t>Director</t>
  </si>
  <si>
    <t>Total</t>
  </si>
  <si>
    <t>Total: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</si>
  <si>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</si>
  <si>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</si>
  <si>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</si>
  <si>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</si>
  <si>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</si>
  <si>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</si>
  <si>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</si>
  <si>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</si>
  <si>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</si>
  <si>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</si>
  <si>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</si>
  <si>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</si>
  <si>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</si>
  <si>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</si>
  <si>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</si>
  <si>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</si>
  <si>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</si>
  <si>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</si>
  <si>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</si>
  <si>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</si>
  <si>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</si>
  <si>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</si>
  <si>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</si>
  <si>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</si>
  <si>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</si>
  <si>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</si>
  <si>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</si>
  <si>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</si>
  <si>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</si>
  <si>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</si>
  <si>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</si>
  <si>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</si>
  <si>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</si>
  <si>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</si>
  <si>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</si>
  <si>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</si>
  <si>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</si>
  <si>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</si>
  <si>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</si>
  <si>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</si>
  <si>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</si>
  <si>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</si>
  <si>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</si>
  <si>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</si>
  <si>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</si>
  <si>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</si>
  <si>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</si>
  <si>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</si>
  <si>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</si>
  <si>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</si>
  <si>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</si>
  <si>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</si>
  <si>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</si>
  <si>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</si>
  <si>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</si>
  <si>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</si>
  <si>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</si>
  <si>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</si>
  <si>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</si>
  <si>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</si>
  <si>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</si>
  <si>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Discount</t>
  </si>
  <si>
    <t>TOTAL:</t>
  </si>
  <si>
    <t>m² Rate</t>
  </si>
  <si>
    <t>PER M² FEES</t>
  </si>
  <si>
    <t xml:space="preserve">m² </t>
  </si>
  <si>
    <t>Total Drawing Days</t>
  </si>
  <si>
    <t>Hours out of office</t>
  </si>
  <si>
    <t>Dewald</t>
  </si>
  <si>
    <t>Project Daily Rate</t>
  </si>
  <si>
    <t>Discount:</t>
  </si>
  <si>
    <t>Total Professional Fees:</t>
  </si>
  <si>
    <t>Phase 1: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</si>
  <si>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</si>
  <si>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</si>
  <si>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</si>
  <si>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</si>
  <si>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</si>
  <si>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</si>
  <si>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</si>
  <si>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</si>
  <si>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</si>
  <si>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</si>
  <si>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</si>
  <si>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Total Fees</t>
  </si>
  <si>
    <t>Discount overall</t>
  </si>
  <si>
    <t>Tech</t>
  </si>
  <si>
    <t>Johan Hugo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</si>
  <si>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</si>
  <si>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</si>
  <si>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</si>
  <si>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</si>
  <si>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</si>
  <si>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</si>
  <si>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</si>
  <si>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</si>
  <si>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</si>
  <si>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</si>
  <si>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</si>
  <si>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</si>
  <si>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Deposit Payment</t>
  </si>
  <si>
    <t>Interim Payment</t>
  </si>
  <si>
    <t>Balance Payment</t>
  </si>
  <si>
    <t>Payment Terms</t>
  </si>
  <si>
    <t>percentages</t>
  </si>
  <si>
    <t>Amount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</si>
  <si>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</si>
  <si>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Secondary Fee:</t>
  </si>
  <si>
    <t xml:space="preserve">Total Professional Fees: </t>
  </si>
  <si>
    <t xml:space="preserve">Total incl. Discount (ex.VAT) </t>
  </si>
  <si>
    <t>Gross Salary</t>
  </si>
  <si>
    <t>Final Fees (ex VAT)</t>
  </si>
  <si>
    <t>Fee (ex VAT)</t>
  </si>
  <si>
    <t>Medium</t>
  </si>
  <si>
    <t>Stage 6</t>
  </si>
  <si>
    <t>Close - Out</t>
  </si>
  <si>
    <t>Design Development</t>
  </si>
  <si>
    <t>Concept design</t>
  </si>
  <si>
    <t>Inception</t>
  </si>
  <si>
    <t>Stage 3</t>
  </si>
  <si>
    <t>Stage 2</t>
  </si>
  <si>
    <t>Stage 5</t>
  </si>
  <si>
    <t>Stage 1</t>
  </si>
  <si>
    <t xml:space="preserve"> </t>
  </si>
  <si>
    <t>Home</t>
  </si>
  <si>
    <t>Low</t>
  </si>
  <si>
    <t>Employed</t>
  </si>
  <si>
    <t>Hannes/Dewald</t>
  </si>
  <si>
    <t>EXPENSES:</t>
  </si>
  <si>
    <t>Description</t>
  </si>
  <si>
    <t>Rent</t>
  </si>
  <si>
    <t>Power</t>
  </si>
  <si>
    <t>Software</t>
  </si>
  <si>
    <t>Insurance</t>
  </si>
  <si>
    <t>Groceries</t>
  </si>
  <si>
    <t>Domestic</t>
  </si>
  <si>
    <t>Petrol</t>
  </si>
  <si>
    <t>Entertainment</t>
  </si>
  <si>
    <t>Charities</t>
  </si>
  <si>
    <t>SACAP</t>
  </si>
  <si>
    <t>Vehicle services</t>
  </si>
  <si>
    <t>Company Growth</t>
  </si>
  <si>
    <t>Directors Salaries</t>
  </si>
  <si>
    <t>Per Day Rate</t>
  </si>
  <si>
    <t>Per Hour Rate</t>
  </si>
  <si>
    <t>Directors</t>
  </si>
  <si>
    <t>Software:</t>
  </si>
  <si>
    <t>Term (months)</t>
  </si>
  <si>
    <t>Rate per Month</t>
  </si>
  <si>
    <t>Vray (chaos)</t>
  </si>
  <si>
    <t>Office 365</t>
  </si>
  <si>
    <t>3Dmax</t>
  </si>
  <si>
    <t>Employee</t>
  </si>
  <si>
    <t>Autocad</t>
  </si>
  <si>
    <t>Employee Salary</t>
  </si>
  <si>
    <t>Subscriptions:</t>
  </si>
  <si>
    <t>Software Total</t>
  </si>
  <si>
    <t>Subscription Total</t>
  </si>
  <si>
    <t>Total Expenses:</t>
  </si>
  <si>
    <t>Monthly Target</t>
  </si>
  <si>
    <t>Johan</t>
  </si>
  <si>
    <t>Tyers D x 4 (2 Year)</t>
  </si>
  <si>
    <t>Tyres H x 4 (2 Year)</t>
  </si>
  <si>
    <t>Municipal Submission - Admin</t>
  </si>
  <si>
    <t>Costing extra's</t>
  </si>
  <si>
    <t>Travel (Site visit)</t>
  </si>
  <si>
    <t>Travel (KM)</t>
  </si>
  <si>
    <t>Redraw building in 3D</t>
  </si>
  <si>
    <t>Design Layout</t>
  </si>
  <si>
    <t>3D Design</t>
  </si>
  <si>
    <t>Phase 3:</t>
  </si>
  <si>
    <t>Phase 2:</t>
  </si>
  <si>
    <t>Municipal Submission (New)</t>
  </si>
  <si>
    <t>Municipal Submission (Convert Existing)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</si>
</sst>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&quot;* #,##0.00_-;\-&quot;R&quot;* #,##0.00_-;_-&quot;R&quot;* &quot;-&quot;??_-;_-@_-"/>
    <numFmt numFmtId="164" formatCode="&quot;R&quot;#,##0.00"/>
    <numFmt numFmtId="165" formatCode="[$R-1C09]\ #,##0"/>
    <numFmt numFmtId="166" formatCode="[$R-1C09]#,##0.00"/>
    <numFmt numFmtId="167" formatCode="0.0%"/>
    <numFmt numFmtId="168" formatCode="General\ &quot;Visits&quot;"/>
    <numFmt numFmtId="169" formatCode="[$R-1C09]\ #,##0.00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6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329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5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5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6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6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0" fontId="0" fillId="9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0" fontId="8" fillId="9" borderId="50" xfId="0" applyFont="1" applyFill="1" applyBorder="1" applyAlignment="1">
      <alignment horizontal="center"/>
    </xf>
    <xf numFmtId="0" fontId="4" fillId="9" borderId="50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0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7" fontId="0" fillId="0" borderId="0" xfId="3" applyNumberFormat="1" applyFont="1"/>
    <xf numFmtId="9" fontId="0" fillId="0" borderId="0" xfId="0" applyNumberFormat="1"/>
    <xf numFmtId="164" fontId="9" fillId="0" borderId="13" xfId="0" applyNumberFormat="1" applyFont="1" applyBorder="1"/>
    <xf numFmtId="0" fontId="0" fillId="0" borderId="6" xfId="0" applyBorder="1"/>
    <xf numFmtId="0" fontId="0" fillId="0" borderId="9" xfId="0" applyBorder="1"/>
    <xf numFmtId="164" fontId="4" fillId="0" borderId="0" xfId="0" applyNumberFormat="1" applyFont="1" applyAlignment="1">
      <alignment horizontal="right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8" fillId="4" borderId="13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8" fillId="0" borderId="55" xfId="0" applyNumberFormat="1" applyFont="1" applyBorder="1"/>
    <xf numFmtId="0" fontId="24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54" xfId="0" applyFont="1" applyBorder="1"/>
    <xf numFmtId="9" fontId="3" fillId="0" borderId="54" xfId="0" applyNumberFormat="1" applyFont="1" applyBorder="1"/>
    <xf numFmtId="164" fontId="3" fillId="0" borderId="54" xfId="0" applyNumberFormat="1" applyFont="1" applyBorder="1"/>
    <xf numFmtId="0" fontId="22" fillId="0" borderId="52" xfId="0" applyFont="1" applyBorder="1" applyAlignment="1">
      <alignment horizontal="center" vertical="center"/>
    </xf>
    <xf numFmtId="9" fontId="22" fillId="0" borderId="50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4" borderId="0" xfId="0" applyFont="1" applyFill="1"/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center"/>
    </xf>
    <xf numFmtId="168" fontId="0" fillId="0" borderId="0" xfId="0" applyNumberFormat="1"/>
    <xf numFmtId="44" fontId="4" fillId="0" borderId="24" xfId="0" applyNumberFormat="1" applyFont="1" applyBorder="1"/>
    <xf numFmtId="44" fontId="4" fillId="0" borderId="0" xfId="0" applyNumberFormat="1" applyFont="1"/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44" fontId="4" fillId="0" borderId="46" xfId="0" applyNumberFormat="1" applyFont="1" applyBorder="1"/>
    <xf numFmtId="44" fontId="4" fillId="0" borderId="49" xfId="0" applyNumberFormat="1" applyFont="1" applyBorder="1"/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vertical="center"/>
    </xf>
    <xf numFmtId="44" fontId="3" fillId="0" borderId="0" xfId="0" applyNumberFormat="1" applyFont="1"/>
    <xf numFmtId="0" fontId="4" fillId="0" borderId="11" xfId="0" applyFont="1" applyBorder="1" applyAlignment="1">
      <alignment horizontal="center" vertic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5" fillId="0" borderId="50" xfId="0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56" xfId="0" applyFont="1" applyBorder="1"/>
    <xf numFmtId="0" fontId="4" fillId="0" borderId="53" xfId="0" applyFont="1" applyBorder="1"/>
    <xf numFmtId="0" fontId="4" fillId="0" borderId="56" xfId="0" applyFont="1" applyBorder="1" applyAlignment="1">
      <alignment horizontal="center"/>
    </xf>
    <xf numFmtId="0" fontId="15" fillId="0" borderId="11" xfId="0" applyFont="1" applyBorder="1"/>
    <xf numFmtId="164" fontId="4" fillId="0" borderId="11" xfId="0" applyNumberFormat="1" applyFont="1" applyBorder="1"/>
    <xf numFmtId="0" fontId="4" fillId="0" borderId="13" xfId="0" applyFont="1" applyBorder="1"/>
    <xf numFmtId="0" fontId="4" fillId="0" borderId="23" xfId="0" applyFont="1" applyBorder="1" applyAlignment="1">
      <alignment horizontal="center"/>
    </xf>
    <xf numFmtId="0" fontId="4" fillId="0" borderId="58" xfId="0" applyFont="1" applyBorder="1" applyAlignment="1">
      <alignment horizontal="center" vertical="center"/>
    </xf>
    <xf numFmtId="0" fontId="4" fillId="0" borderId="58" xfId="0" applyFont="1" applyBorder="1"/>
    <xf numFmtId="0" fontId="4" fillId="0" borderId="9" xfId="0" applyFont="1" applyBorder="1"/>
    <xf numFmtId="167" fontId="4" fillId="0" borderId="58" xfId="3" applyNumberFormat="1" applyFont="1" applyBorder="1"/>
    <xf numFmtId="0" fontId="4" fillId="0" borderId="12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/>
    <xf numFmtId="0" fontId="4" fillId="0" borderId="49" xfId="0" applyFont="1" applyBorder="1"/>
    <xf numFmtId="0" fontId="4" fillId="0" borderId="56" xfId="0" applyFont="1" applyBorder="1" applyAlignment="1">
      <alignment horizontal="right"/>
    </xf>
    <xf numFmtId="0" fontId="4" fillId="0" borderId="24" xfId="0" applyFont="1" applyBorder="1"/>
    <xf numFmtId="44" fontId="4" fillId="0" borderId="4" xfId="0" applyNumberFormat="1" applyFont="1" applyBorder="1"/>
    <xf numFmtId="44" fontId="4" fillId="0" borderId="59" xfId="0" applyNumberFormat="1" applyFont="1" applyBorder="1"/>
    <xf numFmtId="44" fontId="4" fillId="0" borderId="47" xfId="0" applyNumberFormat="1" applyFont="1" applyBorder="1"/>
    <xf numFmtId="44" fontId="4" fillId="0" borderId="23" xfId="0" applyNumberFormat="1" applyFont="1" applyBorder="1"/>
    <xf numFmtId="44" fontId="4" fillId="0" borderId="58" xfId="0" applyNumberFormat="1" applyFont="1" applyBorder="1"/>
    <xf numFmtId="44" fontId="15" fillId="0" borderId="13" xfId="0" applyNumberFormat="1" applyFont="1" applyBorder="1"/>
    <xf numFmtId="44" fontId="15" fillId="0" borderId="0" xfId="0" applyNumberFormat="1" applyFont="1"/>
    <xf numFmtId="44" fontId="4" fillId="0" borderId="13" xfId="0" applyNumberFormat="1" applyFont="1" applyBorder="1"/>
    <xf numFmtId="44" fontId="4" fillId="0" borderId="10" xfId="0" applyNumberFormat="1" applyFont="1" applyBorder="1"/>
    <xf numFmtId="44" fontId="4" fillId="0" borderId="15" xfId="0" applyNumberFormat="1" applyFont="1" applyBorder="1"/>
    <xf numFmtId="9" fontId="4" fillId="0" borderId="0" xfId="0" applyNumberFormat="1" applyFont="1"/>
    <xf numFmtId="9" fontId="4" fillId="0" borderId="58" xfId="0" applyNumberFormat="1" applyFont="1" applyBorder="1"/>
    <xf numFmtId="44" fontId="4" fillId="0" borderId="60" xfId="0" applyNumberFormat="1" applyFont="1" applyBorder="1"/>
    <xf numFmtId="44" fontId="4" fillId="0" borderId="61" xfId="0" applyNumberFormat="1" applyFont="1" applyBorder="1"/>
    <xf numFmtId="169" fontId="0" fillId="0" borderId="14" xfId="0" applyNumberFormat="1" applyBorder="1"/>
    <xf numFmtId="4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0" fontId="0" fillId="0" borderId="0" xfId="0"/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9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51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4" fillId="4" borderId="0" xfId="0" applyFont="1" applyFill="1" applyAlignment="1">
      <alignment horizontal="center"/>
    </xf>
    <xf numFmtId="44" fontId="3" fillId="0" borderId="0" xfId="0" applyNumberFormat="1" applyFont="1" applyAlignment="1">
      <alignment horizontal="center"/>
    </xf>
    <xf numFmtId="44" fontId="3" fillId="0" borderId="4" xfId="0" applyNumberFormat="1" applyFont="1" applyBorder="1" applyAlignment="1">
      <alignment horizontal="center"/>
    </xf>
    <xf numFmtId="0" fontId="5" fillId="0" borderId="51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4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44" fontId="3" fillId="0" borderId="4" xfId="0" applyNumberFormat="1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4" fontId="3" fillId="5" borderId="4" xfId="0" applyNumberFormat="1" applyFont="1" applyFill="1" applyBorder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44" fontId="3" fillId="5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9" fontId="22" fillId="0" borderId="0" xfId="0" applyNumberFormat="1" applyFont="1" applyBorder="1" applyAlignment="1">
      <alignment horizontal="center" vertical="center"/>
    </xf>
    <xf numFmtId="164" fontId="8" fillId="0" borderId="0" xfId="0" applyNumberFormat="1" applyFont="1" applyBorder="1"/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514350</xdr:colOff>
      <xdr:row>0</xdr:row>
      <xdr:rowOff>164246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164246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67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O47"/>
  <sheetViews>
    <sheetView topLeftCell="A18" workbookViewId="0">
      <selection activeCell="D15" sqref="D15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6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19" style="1" bestFit="1" customWidth="1"/>
    <col min="11" max="11" width="17.140625" style="1" customWidth="1"/>
    <col min="12" max="12" width="15.42578125" style="1" bestFit="1" customWidth="1"/>
    <col min="13" max="13" width="17.5703125" style="1" bestFit="1" customWidth="1"/>
    <col min="14" max="14" width="17.7109375" style="1" bestFit="1" customWidth="1"/>
    <col min="15" max="15" width="19.28515625" style="1" bestFit="1" customWidth="1"/>
    <col min="16" max="16" width="25.42578125" style="1" customWidth="1"/>
    <col min="17" max="16384" width="9.140625" style="1"/>
  </cols>
  <sheetData>
    <row r="1" spans="1:11" x14ac:dyDescent="0.3">
      <c r="A1" s="300"/>
      <c r="B1" s="300"/>
      <c r="C1" s="300"/>
      <c r="D1" s="300"/>
      <c r="E1" s="300"/>
      <c r="F1" s="300"/>
      <c r="G1" s="300"/>
      <c r="H1" s="300"/>
      <c r="I1" s="300"/>
      <c r="J1" s="300"/>
    </row>
    <row r="2" spans="1:11" x14ac:dyDescent="0.3">
      <c r="A2" s="300"/>
      <c r="B2" s="300"/>
      <c r="C2" s="300"/>
      <c r="D2" s="300"/>
      <c r="E2" s="300"/>
      <c r="F2" s="300"/>
      <c r="G2" s="300"/>
      <c r="H2" s="300"/>
      <c r="I2" s="300"/>
      <c r="J2" s="300"/>
    </row>
    <row r="3" spans="1:11" x14ac:dyDescent="0.3">
      <c r="A3" s="300"/>
      <c r="B3" s="300"/>
      <c r="C3" s="300"/>
      <c r="D3" s="300"/>
      <c r="E3" s="300"/>
      <c r="F3" s="300"/>
      <c r="G3" s="300"/>
      <c r="H3" s="300"/>
      <c r="I3" s="300"/>
      <c r="J3" s="300"/>
    </row>
    <row r="4" spans="1:11" x14ac:dyDescent="0.3">
      <c r="A4" s="300"/>
      <c r="B4" s="300"/>
      <c r="C4" s="300"/>
      <c r="D4" s="300"/>
      <c r="E4" s="300"/>
      <c r="F4" s="300"/>
      <c r="G4" s="300"/>
      <c r="H4" s="300"/>
      <c r="I4" s="300"/>
      <c r="J4" s="300"/>
    </row>
    <row r="5" spans="1:11" x14ac:dyDescent="0.3">
      <c r="A5" s="300"/>
      <c r="B5" s="300"/>
      <c r="C5" s="300"/>
      <c r="D5" s="300"/>
      <c r="E5" s="300"/>
      <c r="F5" s="300"/>
      <c r="G5" s="300"/>
      <c r="H5" s="300"/>
      <c r="I5" s="300"/>
      <c r="J5" s="300"/>
    </row>
    <row r="6" spans="1:11" x14ac:dyDescent="0.3">
      <c r="A6" s="300"/>
      <c r="B6" s="300"/>
      <c r="C6" s="300"/>
      <c r="D6" s="300"/>
      <c r="E6" s="300"/>
      <c r="F6" s="300"/>
      <c r="G6" s="300"/>
      <c r="H6" s="300"/>
      <c r="I6" s="300"/>
      <c r="J6" s="300"/>
    </row>
    <row r="7" spans="1:11" x14ac:dyDescent="0.3">
      <c r="A7" s="300"/>
      <c r="B7" s="300"/>
      <c r="C7" s="300"/>
      <c r="D7" s="300"/>
      <c r="E7" s="300"/>
      <c r="F7" s="300"/>
      <c r="G7" s="300"/>
      <c r="H7" s="300"/>
      <c r="I7" s="300"/>
      <c r="J7" s="300"/>
    </row>
    <row r="8" spans="1:11" x14ac:dyDescent="0.3">
      <c r="A8" s="300"/>
      <c r="B8" s="300"/>
      <c r="C8" s="300"/>
      <c r="D8" s="300"/>
      <c r="E8" s="300"/>
      <c r="F8" s="300"/>
      <c r="G8" s="300"/>
      <c r="H8" s="300"/>
      <c r="I8" s="300"/>
      <c r="J8" s="300"/>
    </row>
    <row r="9" spans="1:11" x14ac:dyDescent="0.3">
      <c r="A9" s="300"/>
      <c r="B9" s="300"/>
      <c r="C9" s="300"/>
      <c r="D9" s="300"/>
      <c r="E9" s="300"/>
      <c r="F9" s="300"/>
      <c r="G9" s="300"/>
      <c r="H9" s="300"/>
      <c r="I9" s="300"/>
      <c r="J9" s="300"/>
    </row>
    <row r="10" spans="1:11" x14ac:dyDescent="0.3">
      <c r="A10" s="300"/>
      <c r="B10" s="300"/>
      <c r="C10" s="300"/>
      <c r="D10" s="300"/>
      <c r="E10" s="300"/>
      <c r="F10" s="300"/>
      <c r="G10" s="300"/>
      <c r="H10" s="300"/>
      <c r="I10" s="300"/>
      <c r="J10" s="300"/>
    </row>
    <row r="11" spans="1:11" ht="21" thickBot="1" x14ac:dyDescent="0.35">
      <c r="A11" s="298" t="s">
        <v>5</v>
      </c>
      <c r="B11" s="299"/>
      <c r="C11" s="299"/>
      <c r="D11" s="299"/>
      <c r="E11" s="299"/>
      <c r="F11" s="299"/>
      <c r="G11" s="299"/>
      <c r="H11" s="299"/>
      <c r="I11" s="299"/>
      <c r="J11" s="299"/>
    </row>
    <row r="12" spans="1:11" ht="18.75" customHeight="1" thickBot="1" x14ac:dyDescent="0.35">
      <c r="A12" s="226" t="s">
        <v>88</v>
      </c>
      <c r="B12" s="227" t="s">
        <v>1</v>
      </c>
      <c r="C12" s="225" t="s">
        <v>0</v>
      </c>
      <c r="D12" s="229" t="s">
        <v>115</v>
      </c>
      <c r="E12" s="303" t="s">
        <v>9</v>
      </c>
      <c r="F12" s="306"/>
      <c r="G12" s="304"/>
      <c r="H12" s="303" t="s">
        <v>4</v>
      </c>
      <c r="I12" s="304"/>
      <c r="J12" s="225" t="s">
        <v>131</v>
      </c>
    </row>
    <row r="13" spans="1:11" x14ac:dyDescent="0.3">
      <c r="A13" s="221">
        <v>1</v>
      </c>
      <c r="B13" s="231" t="s">
        <v>132</v>
      </c>
      <c r="C13" s="113" t="s">
        <v>2</v>
      </c>
      <c r="D13" s="223">
        <v>40000</v>
      </c>
      <c r="E13" s="305">
        <v>0.1</v>
      </c>
      <c r="F13" s="305"/>
      <c r="G13" s="223">
        <f>D13*E13</f>
        <v>4000</v>
      </c>
      <c r="H13" s="302">
        <f>D13+G13</f>
        <v>44000</v>
      </c>
      <c r="I13" s="302"/>
      <c r="J13" s="113">
        <v>2</v>
      </c>
    </row>
    <row r="14" spans="1:11" x14ac:dyDescent="0.3">
      <c r="A14" s="221">
        <v>2</v>
      </c>
      <c r="B14" s="113" t="s">
        <v>92</v>
      </c>
      <c r="C14" s="113" t="s">
        <v>91</v>
      </c>
      <c r="D14" s="222">
        <v>24000</v>
      </c>
      <c r="E14" s="294">
        <v>0.1</v>
      </c>
      <c r="F14" s="294"/>
      <c r="G14" s="223">
        <f>D14*E14</f>
        <v>2400</v>
      </c>
      <c r="H14" s="301">
        <f>D14+G14</f>
        <v>26400</v>
      </c>
      <c r="I14" s="301"/>
      <c r="J14" s="113">
        <v>1</v>
      </c>
    </row>
    <row r="15" spans="1:11" x14ac:dyDescent="0.3">
      <c r="A15" s="221">
        <v>3</v>
      </c>
      <c r="B15" s="113" t="s">
        <v>130</v>
      </c>
      <c r="C15" s="113" t="s">
        <v>91</v>
      </c>
      <c r="D15" s="222">
        <v>10000</v>
      </c>
      <c r="E15" s="294">
        <v>3</v>
      </c>
      <c r="F15" s="294"/>
      <c r="G15" s="223">
        <f>D15*E15</f>
        <v>30000</v>
      </c>
      <c r="H15" s="301">
        <f>D15+G15</f>
        <v>40000</v>
      </c>
      <c r="I15" s="301"/>
      <c r="J15" s="113">
        <v>1</v>
      </c>
    </row>
    <row r="16" spans="1:11" x14ac:dyDescent="0.3">
      <c r="A16" s="4"/>
      <c r="E16" s="295"/>
      <c r="F16" s="295"/>
      <c r="H16" s="295"/>
      <c r="I16" s="295"/>
      <c r="K16"/>
    </row>
    <row r="17" spans="1:15" ht="21" thickBot="1" x14ac:dyDescent="0.35">
      <c r="A17" s="307" t="s">
        <v>6</v>
      </c>
      <c r="B17" s="307"/>
      <c r="C17" s="307"/>
      <c r="D17" s="307"/>
      <c r="E17" s="307"/>
      <c r="F17" s="307"/>
      <c r="G17" s="307"/>
      <c r="H17" s="307"/>
      <c r="I17" s="307"/>
      <c r="J17" s="307"/>
      <c r="K17"/>
    </row>
    <row r="18" spans="1:15" ht="18" thickBot="1" x14ac:dyDescent="0.35">
      <c r="A18" s="224" t="s">
        <v>88</v>
      </c>
      <c r="B18" s="228" t="s">
        <v>7</v>
      </c>
      <c r="C18" s="308" t="s">
        <v>10</v>
      </c>
      <c r="D18" s="309"/>
      <c r="E18" s="296" t="s">
        <v>8</v>
      </c>
      <c r="F18" s="297"/>
      <c r="G18" s="311" t="s">
        <v>11</v>
      </c>
      <c r="H18" s="312"/>
      <c r="I18" s="312"/>
      <c r="J18" s="312"/>
      <c r="K18"/>
    </row>
    <row r="19" spans="1:15" x14ac:dyDescent="0.3">
      <c r="A19" s="221">
        <v>1</v>
      </c>
      <c r="B19" s="230">
        <v>21</v>
      </c>
      <c r="C19" s="310">
        <f>D46</f>
        <v>6507.8907500000005</v>
      </c>
      <c r="D19" s="310"/>
      <c r="E19" s="317">
        <v>8</v>
      </c>
      <c r="F19" s="317"/>
      <c r="G19" s="313">
        <f>ROUNDUP(C19/E19,-0.1)</f>
        <v>814</v>
      </c>
      <c r="H19" s="313"/>
      <c r="I19" s="313"/>
      <c r="J19" s="313"/>
      <c r="K19" s="113"/>
    </row>
    <row r="20" spans="1:15" x14ac:dyDescent="0.3">
      <c r="A20" s="221">
        <v>2</v>
      </c>
      <c r="B20" s="230">
        <v>21</v>
      </c>
      <c r="C20" s="314">
        <f ca="1">J46</f>
        <v>5937.8</v>
      </c>
      <c r="D20" s="314"/>
      <c r="E20" s="316">
        <v>8</v>
      </c>
      <c r="F20" s="316"/>
      <c r="G20" s="315">
        <f ca="1">C20/E20</f>
        <v>742.22500000000002</v>
      </c>
      <c r="H20" s="315"/>
      <c r="I20" s="315"/>
      <c r="J20" s="315"/>
      <c r="K20" s="113"/>
    </row>
    <row r="21" spans="1:15" x14ac:dyDescent="0.3">
      <c r="A21" s="221">
        <v>3</v>
      </c>
      <c r="B21" s="230">
        <v>21</v>
      </c>
      <c r="C21" s="314">
        <f>H15/4/5</f>
        <v>2000</v>
      </c>
      <c r="D21" s="314"/>
      <c r="E21" s="316">
        <v>8</v>
      </c>
      <c r="F21" s="316"/>
      <c r="G21" s="315">
        <f>C21/E21</f>
        <v>250</v>
      </c>
      <c r="H21" s="315"/>
      <c r="I21" s="315"/>
      <c r="J21" s="315"/>
      <c r="K21"/>
    </row>
    <row r="22" spans="1:15" x14ac:dyDescent="0.3">
      <c r="A22" s="221"/>
      <c r="B22" s="230"/>
      <c r="C22" s="265"/>
      <c r="D22" s="265"/>
      <c r="E22" s="221"/>
      <c r="F22" s="221"/>
      <c r="G22"/>
      <c r="H22"/>
      <c r="I22"/>
      <c r="J22"/>
      <c r="K22"/>
    </row>
    <row r="23" spans="1:15" ht="21" thickBot="1" x14ac:dyDescent="0.35">
      <c r="A23" s="298" t="s">
        <v>133</v>
      </c>
      <c r="B23" s="299"/>
      <c r="C23" s="299"/>
      <c r="D23" s="299"/>
      <c r="E23" s="299"/>
      <c r="F23" s="299"/>
      <c r="G23" s="299"/>
      <c r="H23" s="299"/>
      <c r="I23" s="299"/>
      <c r="J23" s="299"/>
      <c r="K23"/>
    </row>
    <row r="24" spans="1:15" ht="18" thickBot="1" x14ac:dyDescent="0.35">
      <c r="A24" s="224"/>
      <c r="B24" s="243" t="s">
        <v>134</v>
      </c>
      <c r="C24" s="243"/>
      <c r="D24" s="243" t="s">
        <v>3</v>
      </c>
      <c r="E24" s="243"/>
      <c r="F24" s="6"/>
      <c r="G24" s="6"/>
      <c r="H24" s="6"/>
      <c r="I24" s="6"/>
      <c r="J24" s="237"/>
    </row>
    <row r="25" spans="1:15" x14ac:dyDescent="0.3">
      <c r="A25" s="245">
        <v>1</v>
      </c>
      <c r="B25" s="14" t="s">
        <v>135</v>
      </c>
      <c r="C25" s="14"/>
      <c r="D25" s="250">
        <v>11000</v>
      </c>
      <c r="E25" s="251"/>
      <c r="F25" s="244">
        <v>1</v>
      </c>
      <c r="G25" s="1" t="s">
        <v>161</v>
      </c>
      <c r="I25" s="260">
        <v>1</v>
      </c>
      <c r="J25" s="252">
        <f ca="1">SUMIF($L$34:$O$43,G25,$O$34:$O$43)*$I$25</f>
        <v>750</v>
      </c>
      <c r="L25" s="1" t="s">
        <v>150</v>
      </c>
    </row>
    <row r="26" spans="1:15" x14ac:dyDescent="0.3">
      <c r="A26" s="4">
        <v>2</v>
      </c>
      <c r="B26" s="1" t="s">
        <v>136</v>
      </c>
      <c r="D26" s="215">
        <v>2000</v>
      </c>
      <c r="E26" s="252"/>
      <c r="F26" s="244">
        <v>2</v>
      </c>
      <c r="G26" s="1" t="s">
        <v>162</v>
      </c>
      <c r="I26" s="260">
        <v>1</v>
      </c>
      <c r="J26" s="252">
        <f ca="1">SUMIF($L$34:$O$44,G26,$O$34:$O$44)*$I$26</f>
        <v>383.33333333333331</v>
      </c>
      <c r="L26" s="233" t="s">
        <v>151</v>
      </c>
      <c r="M26" s="248" t="s">
        <v>152</v>
      </c>
      <c r="N26" s="234" t="s">
        <v>4</v>
      </c>
      <c r="O26" s="249" t="s">
        <v>153</v>
      </c>
    </row>
    <row r="27" spans="1:15" x14ac:dyDescent="0.3">
      <c r="A27" s="4">
        <v>3</v>
      </c>
      <c r="B27" s="1" t="s">
        <v>138</v>
      </c>
      <c r="D27" s="215">
        <v>4500</v>
      </c>
      <c r="E27" s="252"/>
      <c r="F27" s="244">
        <v>3</v>
      </c>
      <c r="G27" s="1" t="s">
        <v>135</v>
      </c>
      <c r="I27" s="260">
        <v>0.3</v>
      </c>
      <c r="J27" s="252">
        <f ca="1">SUMIF($B$25:$D$37,G27,$D$25:$D$37)*I27</f>
        <v>3300</v>
      </c>
      <c r="L27" s="175" t="s">
        <v>158</v>
      </c>
      <c r="M27" s="246">
        <v>12</v>
      </c>
      <c r="N27" s="259">
        <f>9000*C42</f>
        <v>18000</v>
      </c>
      <c r="O27" s="219">
        <f>N27/M27</f>
        <v>1500</v>
      </c>
    </row>
    <row r="28" spans="1:15" x14ac:dyDescent="0.3">
      <c r="A28" s="4">
        <v>4</v>
      </c>
      <c r="B28" s="1" t="s">
        <v>139</v>
      </c>
      <c r="D28" s="215">
        <v>1000</v>
      </c>
      <c r="E28" s="252"/>
      <c r="F28" s="244">
        <v>4</v>
      </c>
      <c r="G28" s="1" t="s">
        <v>136</v>
      </c>
      <c r="I28" s="260">
        <v>0.3</v>
      </c>
      <c r="J28" s="252">
        <f ca="1">SUMIF($B$25:$D$37,G28,$D$25:$D$37)*I28</f>
        <v>600</v>
      </c>
      <c r="L28" s="77" t="s">
        <v>154</v>
      </c>
      <c r="M28" s="1">
        <v>12</v>
      </c>
      <c r="N28" s="215">
        <v>13200</v>
      </c>
      <c r="O28" s="252">
        <f>N28/M28</f>
        <v>1100</v>
      </c>
    </row>
    <row r="29" spans="1:15" x14ac:dyDescent="0.3">
      <c r="A29" s="4">
        <v>5</v>
      </c>
      <c r="B29" s="1" t="s">
        <v>140</v>
      </c>
      <c r="D29" s="215">
        <v>880</v>
      </c>
      <c r="E29" s="252"/>
      <c r="F29" s="244">
        <v>5</v>
      </c>
      <c r="G29" s="1" t="s">
        <v>139</v>
      </c>
      <c r="I29" s="260">
        <v>0.3</v>
      </c>
      <c r="J29" s="252">
        <f ca="1">SUMIF($B$25:$D$37,G29,$D$25:$D$37)*I29</f>
        <v>300</v>
      </c>
      <c r="L29" s="77" t="s">
        <v>155</v>
      </c>
      <c r="M29" s="1">
        <v>12</v>
      </c>
      <c r="N29" s="215">
        <v>1600</v>
      </c>
      <c r="O29" s="252">
        <f>N29/M29</f>
        <v>133.33333333333334</v>
      </c>
    </row>
    <row r="30" spans="1:15" x14ac:dyDescent="0.3">
      <c r="A30" s="4">
        <v>6</v>
      </c>
      <c r="B30" s="1" t="s">
        <v>141</v>
      </c>
      <c r="D30" s="215">
        <f>700*4*2</f>
        <v>5600</v>
      </c>
      <c r="E30" s="252"/>
      <c r="F30" s="244">
        <v>6</v>
      </c>
      <c r="G30" s="1" t="s">
        <v>140</v>
      </c>
      <c r="I30" s="260">
        <v>0.3</v>
      </c>
      <c r="J30" s="252">
        <f ca="1">SUMIF($B$25:$D$37,G30,$D$25:$D$37)*I30</f>
        <v>264</v>
      </c>
      <c r="L30" s="179" t="s">
        <v>156</v>
      </c>
      <c r="M30" s="180">
        <v>12</v>
      </c>
      <c r="N30" s="180"/>
      <c r="O30" s="247"/>
    </row>
    <row r="31" spans="1:15" x14ac:dyDescent="0.3">
      <c r="A31" s="4">
        <v>7</v>
      </c>
      <c r="B31" s="1" t="s">
        <v>142</v>
      </c>
      <c r="D31" s="215">
        <v>4000</v>
      </c>
      <c r="E31" s="252"/>
      <c r="J31" s="178"/>
      <c r="L31" s="233"/>
      <c r="M31" s="232"/>
      <c r="N31" s="232" t="s">
        <v>3</v>
      </c>
      <c r="O31" s="214">
        <f>SUM(O27:O30)</f>
        <v>2733.3333333333335</v>
      </c>
    </row>
    <row r="32" spans="1:15" x14ac:dyDescent="0.3">
      <c r="A32" s="4">
        <v>8</v>
      </c>
      <c r="B32" s="1" t="s">
        <v>143</v>
      </c>
      <c r="D32" s="215">
        <v>200</v>
      </c>
      <c r="E32" s="252"/>
      <c r="F32" s="77"/>
      <c r="J32" s="178"/>
    </row>
    <row r="33" spans="1:15" x14ac:dyDescent="0.3">
      <c r="A33" s="4">
        <v>9</v>
      </c>
      <c r="B33" s="1" t="s">
        <v>144</v>
      </c>
      <c r="D33" s="215">
        <f>O44*2</f>
        <v>766.66666666666663</v>
      </c>
      <c r="E33" s="252"/>
      <c r="J33" s="178"/>
      <c r="L33" s="1" t="s">
        <v>157</v>
      </c>
    </row>
    <row r="34" spans="1:15" x14ac:dyDescent="0.3">
      <c r="A34" s="4">
        <v>10</v>
      </c>
      <c r="B34" s="1" t="s">
        <v>145</v>
      </c>
      <c r="D34" s="215">
        <f>15000/12</f>
        <v>1250</v>
      </c>
      <c r="E34" s="252"/>
      <c r="J34" s="178"/>
      <c r="L34" s="175" t="s">
        <v>158</v>
      </c>
      <c r="M34" s="246">
        <v>12</v>
      </c>
      <c r="N34" s="259">
        <f>9000</f>
        <v>9000</v>
      </c>
      <c r="O34" s="219">
        <f>N34/M34</f>
        <v>750</v>
      </c>
    </row>
    <row r="35" spans="1:15" x14ac:dyDescent="0.3">
      <c r="A35" s="3">
        <v>11</v>
      </c>
      <c r="B35" s="1" t="s">
        <v>167</v>
      </c>
      <c r="D35" s="215">
        <f>4200/12</f>
        <v>350</v>
      </c>
      <c r="E35" s="252"/>
      <c r="F35" s="77"/>
      <c r="J35" s="178"/>
      <c r="L35" s="77"/>
      <c r="M35" s="1">
        <v>12</v>
      </c>
      <c r="N35" s="215"/>
      <c r="O35" s="252">
        <f>N35/M35</f>
        <v>0</v>
      </c>
    </row>
    <row r="36" spans="1:15" x14ac:dyDescent="0.3">
      <c r="A36" s="3">
        <v>12</v>
      </c>
      <c r="B36" s="1" t="s">
        <v>166</v>
      </c>
      <c r="D36" s="215">
        <f>11400/12/2</f>
        <v>475</v>
      </c>
      <c r="E36" s="252"/>
      <c r="F36" s="77"/>
      <c r="G36" s="215"/>
      <c r="H36" s="215"/>
      <c r="I36" s="215"/>
      <c r="J36" s="178"/>
      <c r="L36" s="77"/>
      <c r="M36" s="1">
        <v>12</v>
      </c>
      <c r="N36" s="215"/>
      <c r="O36" s="252">
        <f>N36/M36</f>
        <v>0</v>
      </c>
    </row>
    <row r="37" spans="1:15" x14ac:dyDescent="0.3">
      <c r="A37" s="238">
        <v>13</v>
      </c>
      <c r="B37" s="180" t="s">
        <v>137</v>
      </c>
      <c r="C37" s="180"/>
      <c r="D37" s="253">
        <f>O31</f>
        <v>2733.3333333333335</v>
      </c>
      <c r="E37" s="220"/>
      <c r="F37" s="179"/>
      <c r="G37" s="253"/>
      <c r="H37" s="253"/>
      <c r="I37" s="253"/>
      <c r="J37" s="220"/>
      <c r="L37" s="77"/>
      <c r="M37" s="1">
        <v>12</v>
      </c>
      <c r="N37" s="215"/>
      <c r="O37" s="252">
        <f>N37/M37</f>
        <v>0</v>
      </c>
    </row>
    <row r="38" spans="1:15" x14ac:dyDescent="0.3">
      <c r="A38" s="3"/>
      <c r="D38" s="215"/>
      <c r="E38" s="215"/>
      <c r="G38" s="215"/>
      <c r="H38" s="215"/>
      <c r="I38" s="215"/>
      <c r="J38" s="215"/>
      <c r="L38" s="233" t="s">
        <v>161</v>
      </c>
      <c r="M38" s="232"/>
      <c r="N38" s="232"/>
      <c r="O38" s="214">
        <f>SUM(O34:O37)</f>
        <v>750</v>
      </c>
    </row>
    <row r="39" spans="1:15" x14ac:dyDescent="0.3">
      <c r="A39" s="3"/>
      <c r="B39" s="69" t="s">
        <v>163</v>
      </c>
      <c r="D39" s="215">
        <f>SUM(D25:D37)</f>
        <v>34755</v>
      </c>
      <c r="E39" s="215"/>
      <c r="G39" s="69" t="s">
        <v>163</v>
      </c>
      <c r="H39" s="215"/>
      <c r="I39" s="215"/>
      <c r="J39" s="215">
        <f ca="1">SUM(J25:J37)</f>
        <v>5597.333333333333</v>
      </c>
    </row>
    <row r="40" spans="1:15" ht="18" thickBot="1" x14ac:dyDescent="0.35">
      <c r="A40" s="239"/>
      <c r="B40" s="240" t="s">
        <v>146</v>
      </c>
      <c r="C40" s="242">
        <v>0.21299999999999999</v>
      </c>
      <c r="D40" s="254">
        <f>SUM(D39)*(1+C40)</f>
        <v>42157.815000000002</v>
      </c>
      <c r="E40" s="215"/>
      <c r="F40" s="263"/>
      <c r="G40" s="240" t="s">
        <v>146</v>
      </c>
      <c r="H40" s="240"/>
      <c r="I40" s="261">
        <v>15.5</v>
      </c>
      <c r="J40" s="262">
        <f ca="1">SUM(J39)*(1+I40)</f>
        <v>92356</v>
      </c>
      <c r="L40" s="1" t="s">
        <v>160</v>
      </c>
    </row>
    <row r="41" spans="1:15" ht="18" thickTop="1" x14ac:dyDescent="0.3">
      <c r="A41" s="4"/>
      <c r="C41" s="215"/>
      <c r="D41" s="215"/>
      <c r="E41" s="215"/>
      <c r="H41" s="215"/>
      <c r="I41" s="215"/>
      <c r="L41" s="175" t="s">
        <v>144</v>
      </c>
      <c r="M41" s="246">
        <v>12</v>
      </c>
      <c r="N41" s="259">
        <v>4600</v>
      </c>
      <c r="O41" s="219">
        <f>N41/M41</f>
        <v>383.33333333333331</v>
      </c>
    </row>
    <row r="42" spans="1:15" x14ac:dyDescent="0.3">
      <c r="A42" s="4">
        <v>1</v>
      </c>
      <c r="B42" s="1" t="s">
        <v>147</v>
      </c>
      <c r="C42" s="1">
        <f>J13</f>
        <v>2</v>
      </c>
      <c r="D42" s="215">
        <f>H13*J13</f>
        <v>88000</v>
      </c>
      <c r="E42" s="215"/>
      <c r="F42" s="3">
        <v>1</v>
      </c>
      <c r="G42" s="1" t="s">
        <v>159</v>
      </c>
      <c r="J42" s="215">
        <f>H14</f>
        <v>26400</v>
      </c>
      <c r="L42" s="77"/>
      <c r="O42" s="178"/>
    </row>
    <row r="43" spans="1:15" ht="18" thickBot="1" x14ac:dyDescent="0.35">
      <c r="A43" s="4"/>
      <c r="C43" s="215"/>
      <c r="D43" s="215"/>
      <c r="E43" s="215"/>
      <c r="L43" s="179"/>
      <c r="M43" s="180"/>
      <c r="N43" s="180"/>
      <c r="O43" s="247"/>
    </row>
    <row r="44" spans="1:15" ht="18" thickBot="1" x14ac:dyDescent="0.35">
      <c r="A44" s="4"/>
      <c r="B44" s="235" t="s">
        <v>164</v>
      </c>
      <c r="C44" s="6"/>
      <c r="D44" s="255">
        <f>D40+D42</f>
        <v>130157.815</v>
      </c>
      <c r="E44" s="256"/>
      <c r="F44" s="215"/>
      <c r="G44" s="235" t="s">
        <v>164</v>
      </c>
      <c r="H44" s="6"/>
      <c r="I44" s="6"/>
      <c r="J44" s="255">
        <f ca="1">J40+J42</f>
        <v>118756</v>
      </c>
      <c r="L44" s="233" t="s">
        <v>162</v>
      </c>
      <c r="M44" s="232"/>
      <c r="N44" s="232"/>
      <c r="O44" s="214">
        <f>SUM(O41:O43)</f>
        <v>383.33333333333331</v>
      </c>
    </row>
    <row r="45" spans="1:15" ht="18" thickBot="1" x14ac:dyDescent="0.35">
      <c r="A45" s="4"/>
      <c r="B45" s="69"/>
      <c r="D45" s="256"/>
      <c r="E45" s="256"/>
    </row>
    <row r="46" spans="1:15" ht="18" thickBot="1" x14ac:dyDescent="0.35">
      <c r="A46" s="4"/>
      <c r="B46" s="236" t="s">
        <v>148</v>
      </c>
      <c r="C46" s="6"/>
      <c r="D46" s="257">
        <f>D44/4/5</f>
        <v>6507.8907500000005</v>
      </c>
      <c r="E46" s="215"/>
      <c r="F46" s="95"/>
      <c r="G46" s="236" t="s">
        <v>148</v>
      </c>
      <c r="H46" s="6"/>
      <c r="I46" s="6"/>
      <c r="J46" s="257">
        <f ca="1">J44/4/5</f>
        <v>5937.8</v>
      </c>
    </row>
    <row r="47" spans="1:15" ht="18" thickBot="1" x14ac:dyDescent="0.35">
      <c r="A47" s="4"/>
      <c r="B47" s="89" t="s">
        <v>149</v>
      </c>
      <c r="C47" s="241"/>
      <c r="D47" s="258">
        <f>D46/8</f>
        <v>813.48634375000006</v>
      </c>
      <c r="E47" s="215"/>
      <c r="G47" s="89" t="s">
        <v>149</v>
      </c>
      <c r="H47" s="6"/>
      <c r="I47" s="6"/>
      <c r="J47" s="257">
        <f ca="1">J46/8</f>
        <v>742.22500000000002</v>
      </c>
    </row>
  </sheetData>
  <mergeCells count="26">
    <mergeCell ref="A23:J23"/>
    <mergeCell ref="A17:J17"/>
    <mergeCell ref="C18:D18"/>
    <mergeCell ref="C19:D19"/>
    <mergeCell ref="G18:J18"/>
    <mergeCell ref="G19:J19"/>
    <mergeCell ref="C20:D20"/>
    <mergeCell ref="G20:J20"/>
    <mergeCell ref="E21:F21"/>
    <mergeCell ref="E19:F19"/>
    <mergeCell ref="E20:F20"/>
    <mergeCell ref="C21:D21"/>
    <mergeCell ref="G21:J21"/>
    <mergeCell ref="E15:F15"/>
    <mergeCell ref="E16:F16"/>
    <mergeCell ref="E18:F18"/>
    <mergeCell ref="A11:J11"/>
    <mergeCell ref="A1:J10"/>
    <mergeCell ref="H15:I15"/>
    <mergeCell ref="H16:I16"/>
    <mergeCell ref="H13:I13"/>
    <mergeCell ref="H14:I14"/>
    <mergeCell ref="H12:I12"/>
    <mergeCell ref="E13:F13"/>
    <mergeCell ref="E14:F14"/>
    <mergeCell ref="E12:G12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125"/>
  <sheetViews>
    <sheetView tabSelected="1" topLeftCell="A6" zoomScaleNormal="100" workbookViewId="0">
      <selection activeCell="B17" sqref="B17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4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03"/>
      <c r="B1" s="203"/>
      <c r="C1" s="203"/>
      <c r="D1" s="203"/>
      <c r="E1" s="203"/>
      <c r="F1" s="203"/>
      <c r="G1" s="203"/>
      <c r="H1" s="203"/>
      <c r="I1" s="1"/>
      <c r="J1" s="1"/>
      <c r="K1" s="1"/>
      <c r="L1" s="1"/>
      <c r="M1" s="1"/>
    </row>
    <row r="2" spans="1:13" ht="17.25" x14ac:dyDescent="0.3">
      <c r="A2" s="203"/>
      <c r="B2" s="203"/>
      <c r="C2" s="203"/>
      <c r="D2" s="203"/>
      <c r="E2" s="203"/>
      <c r="F2" s="203"/>
      <c r="G2" s="203"/>
      <c r="H2" s="203"/>
      <c r="I2" s="2"/>
      <c r="J2" s="2"/>
      <c r="K2" s="1"/>
      <c r="L2" s="1"/>
      <c r="M2" s="1"/>
    </row>
    <row r="3" spans="1:13" ht="17.25" x14ac:dyDescent="0.3">
      <c r="A3" s="203"/>
      <c r="B3" s="203"/>
      <c r="C3" s="203"/>
      <c r="D3" s="203"/>
      <c r="E3" s="203"/>
      <c r="F3" s="203"/>
      <c r="G3" s="203"/>
      <c r="H3" s="203"/>
      <c r="I3" s="2"/>
      <c r="J3" s="2"/>
      <c r="K3" s="1"/>
      <c r="L3" s="1"/>
      <c r="M3" s="1"/>
    </row>
    <row r="4" spans="1:13" ht="17.25" x14ac:dyDescent="0.3">
      <c r="A4" s="203"/>
      <c r="B4" s="203"/>
      <c r="C4" s="203"/>
      <c r="D4" s="203"/>
      <c r="E4" s="203"/>
      <c r="F4" s="203"/>
      <c r="G4" s="203"/>
      <c r="H4" s="203"/>
      <c r="I4" s="2"/>
      <c r="J4" s="2"/>
      <c r="K4" s="1"/>
      <c r="L4" s="1"/>
      <c r="M4" s="1"/>
    </row>
    <row r="5" spans="1:13" ht="17.25" x14ac:dyDescent="0.3">
      <c r="A5" s="203"/>
      <c r="B5" s="203"/>
      <c r="C5" s="203"/>
      <c r="D5" s="203"/>
      <c r="E5" s="203"/>
      <c r="F5" s="203"/>
      <c r="G5" s="203"/>
      <c r="H5" s="203"/>
      <c r="I5" s="2"/>
      <c r="J5" s="2"/>
      <c r="K5" s="1"/>
      <c r="L5" s="1"/>
      <c r="M5" s="1"/>
    </row>
    <row r="6" spans="1:13" ht="17.25" x14ac:dyDescent="0.3">
      <c r="A6" s="203"/>
      <c r="B6" s="203"/>
      <c r="C6" s="203"/>
      <c r="D6" s="203"/>
      <c r="E6" s="203"/>
      <c r="F6" s="203"/>
      <c r="G6" s="203"/>
      <c r="H6" s="203"/>
      <c r="I6" s="1"/>
      <c r="J6" s="1"/>
      <c r="K6" s="1"/>
      <c r="L6" s="1"/>
      <c r="M6" s="1"/>
    </row>
    <row r="7" spans="1:13" ht="17.25" x14ac:dyDescent="0.3">
      <c r="A7" s="203"/>
      <c r="B7" s="203"/>
      <c r="C7" s="203"/>
      <c r="D7" s="203"/>
      <c r="E7" s="203"/>
      <c r="F7" s="203"/>
      <c r="G7" s="203"/>
      <c r="H7" s="203"/>
      <c r="I7" s="2"/>
      <c r="J7" s="2"/>
      <c r="K7" s="1"/>
      <c r="L7" s="1"/>
      <c r="M7" s="1"/>
    </row>
    <row r="8" spans="1:13" ht="17.25" x14ac:dyDescent="0.3">
      <c r="A8" s="203"/>
      <c r="B8" s="203"/>
      <c r="C8" s="203"/>
      <c r="D8" s="203"/>
      <c r="E8" s="203"/>
      <c r="F8" s="203"/>
      <c r="G8" s="203"/>
      <c r="H8" s="203"/>
      <c r="I8" s="2"/>
      <c r="J8" s="2"/>
      <c r="K8" s="1"/>
      <c r="L8" s="1"/>
      <c r="M8" s="1"/>
    </row>
    <row r="9" spans="1:13" ht="17.25" x14ac:dyDescent="0.3">
      <c r="A9" s="203"/>
      <c r="B9" s="203"/>
      <c r="C9" s="203"/>
      <c r="D9" s="203"/>
      <c r="E9" s="203"/>
      <c r="F9" s="203"/>
      <c r="G9" s="203"/>
      <c r="H9" s="203"/>
      <c r="I9" s="1"/>
      <c r="K9" s="3"/>
      <c r="L9" s="1"/>
      <c r="M9" s="1"/>
    </row>
    <row r="10" spans="1:13" ht="18" thickBot="1" x14ac:dyDescent="0.35">
      <c r="A10" s="203"/>
      <c r="B10" s="203"/>
      <c r="C10" s="203"/>
      <c r="D10" s="203"/>
      <c r="E10" s="203"/>
      <c r="F10" s="203"/>
      <c r="G10" s="203"/>
      <c r="H10" s="203"/>
      <c r="I10" s="2"/>
      <c r="J10" s="2"/>
      <c r="K10" s="3"/>
      <c r="L10" s="1"/>
      <c r="M10" s="1"/>
    </row>
    <row r="11" spans="1:13" ht="21" thickBot="1" x14ac:dyDescent="0.35">
      <c r="A11" s="284" t="s">
        <v>12</v>
      </c>
      <c r="B11" s="285"/>
      <c r="C11" s="285"/>
      <c r="D11" s="285"/>
      <c r="E11" s="285"/>
      <c r="F11" s="285"/>
      <c r="G11" s="285"/>
      <c r="H11" s="286"/>
      <c r="I11" s="1"/>
      <c r="J11" s="1"/>
      <c r="K11" s="3"/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287" t="s">
        <v>63</v>
      </c>
      <c r="B13" s="288"/>
      <c r="C13" s="289"/>
      <c r="D13" s="1"/>
      <c r="E13" s="4" t="s">
        <v>64</v>
      </c>
      <c r="F13" s="1"/>
      <c r="G13" s="1"/>
      <c r="H13" s="1"/>
      <c r="K13" s="1"/>
      <c r="L13" s="1"/>
      <c r="M13" s="1"/>
    </row>
    <row r="14" spans="1:13" ht="18" thickBot="1" x14ac:dyDescent="0.35">
      <c r="A14" s="290" t="s">
        <v>59</v>
      </c>
      <c r="B14" s="291"/>
      <c r="C14" s="291"/>
      <c r="D14" s="57" t="s">
        <v>61</v>
      </c>
      <c r="E14" s="57" t="s">
        <v>62</v>
      </c>
      <c r="F14" s="57" t="s">
        <v>60</v>
      </c>
      <c r="G14" s="72" t="s">
        <v>16</v>
      </c>
      <c r="H14" s="57"/>
      <c r="I14" s="1"/>
      <c r="J14" s="1"/>
      <c r="K14" s="1"/>
      <c r="M14" s="3"/>
    </row>
    <row r="15" spans="1:13" ht="18" thickBot="1" x14ac:dyDescent="0.35">
      <c r="A15" s="292" t="s">
        <v>77</v>
      </c>
      <c r="B15" s="293"/>
      <c r="C15" s="71"/>
      <c r="D15" s="71"/>
      <c r="E15" s="71"/>
      <c r="F15" s="76">
        <f>SUM(F16:F37)</f>
        <v>58</v>
      </c>
      <c r="G15" s="218">
        <f>SUM(G16:G29)</f>
        <v>7.25</v>
      </c>
      <c r="H15" s="187">
        <f>SUM(H16:H18)</f>
        <v>13650</v>
      </c>
      <c r="I15" s="1"/>
      <c r="J15" s="278" t="s">
        <v>71</v>
      </c>
      <c r="K15" s="279"/>
      <c r="L15" s="280"/>
      <c r="M15" s="152">
        <f>G15</f>
        <v>7.25</v>
      </c>
    </row>
    <row r="16" spans="1:13" ht="18" thickBot="1" x14ac:dyDescent="0.35">
      <c r="A16" s="182" t="s">
        <v>172</v>
      </c>
      <c r="B16" s="266"/>
      <c r="C16" s="266"/>
      <c r="D16" s="60" t="s">
        <v>165</v>
      </c>
      <c r="E16" s="60">
        <v>650</v>
      </c>
      <c r="F16" s="3">
        <f>16</f>
        <v>16</v>
      </c>
      <c r="G16" s="183">
        <f>IF(F16="","",F16/8)</f>
        <v>2</v>
      </c>
      <c r="H16" s="185">
        <f>IF(E16="","",F16*E16)</f>
        <v>10400</v>
      </c>
      <c r="I16" s="1"/>
      <c r="M16" s="3"/>
    </row>
    <row r="17" spans="1:14" ht="18" thickBot="1" x14ac:dyDescent="0.35">
      <c r="A17" s="1" t="s">
        <v>170</v>
      </c>
      <c r="E17" s="60">
        <v>650</v>
      </c>
      <c r="F17" s="3">
        <v>3</v>
      </c>
      <c r="G17" s="183">
        <f>IF(F17="","",F17/8)</f>
        <v>0.375</v>
      </c>
      <c r="H17" s="185">
        <f>IF(E17="","",F17*E17)</f>
        <v>1950</v>
      </c>
      <c r="I17" s="1"/>
      <c r="J17" s="281" t="s">
        <v>74</v>
      </c>
      <c r="K17" s="282"/>
      <c r="L17" s="283"/>
      <c r="M17" s="105">
        <f>H34/M15</f>
        <v>5632.2758620689656</v>
      </c>
    </row>
    <row r="18" spans="1:14" ht="17.25" x14ac:dyDescent="0.3">
      <c r="A18" s="1" t="s">
        <v>171</v>
      </c>
      <c r="H18" s="185">
        <f>6.5*200</f>
        <v>1300</v>
      </c>
      <c r="I18" s="1"/>
      <c r="M18" s="3"/>
    </row>
    <row r="19" spans="1:14" ht="18" thickBot="1" x14ac:dyDescent="0.35">
      <c r="A19" s="1"/>
      <c r="H19" s="185"/>
      <c r="I19" s="1"/>
      <c r="M19" s="3"/>
    </row>
    <row r="20" spans="1:14" ht="18" thickBot="1" x14ac:dyDescent="0.35">
      <c r="A20" s="292" t="s">
        <v>176</v>
      </c>
      <c r="B20" s="293"/>
      <c r="C20" s="196"/>
      <c r="D20" s="196"/>
      <c r="E20" s="196"/>
      <c r="F20" s="196"/>
      <c r="G20" s="196"/>
      <c r="H20" s="187">
        <f>SUM(H21:H23)</f>
        <v>10934</v>
      </c>
      <c r="I20" s="1"/>
      <c r="M20" s="3"/>
    </row>
    <row r="21" spans="1:14" ht="17.25" x14ac:dyDescent="0.3">
      <c r="A21" s="182" t="s">
        <v>173</v>
      </c>
      <c r="B21" s="266"/>
      <c r="C21" s="266"/>
      <c r="D21" s="60" t="s">
        <v>73</v>
      </c>
      <c r="E21" s="60">
        <v>781</v>
      </c>
      <c r="F21" s="3">
        <v>12</v>
      </c>
      <c r="G21" s="183">
        <f>IF(F21="","",F21/8)</f>
        <v>1.5</v>
      </c>
      <c r="H21" s="185">
        <f>IF(E21="","",F21*E21)</f>
        <v>9372</v>
      </c>
      <c r="I21" s="1"/>
      <c r="M21" s="3"/>
    </row>
    <row r="22" spans="1:14" ht="17.25" x14ac:dyDescent="0.3">
      <c r="A22" s="182" t="s">
        <v>174</v>
      </c>
      <c r="B22" s="266"/>
      <c r="C22" s="266"/>
      <c r="D22" s="60" t="s">
        <v>73</v>
      </c>
      <c r="E22" s="60">
        <v>781</v>
      </c>
      <c r="F22" s="3">
        <v>2</v>
      </c>
      <c r="G22" s="183">
        <f>IF(F22="","",F22/8)</f>
        <v>0.25</v>
      </c>
      <c r="H22" s="185">
        <f>IF(E22="","",F22*E22)</f>
        <v>1562</v>
      </c>
      <c r="I22" s="1"/>
      <c r="M22" s="3"/>
    </row>
    <row r="23" spans="1:14" ht="18" thickBot="1" x14ac:dyDescent="0.35">
      <c r="A23" s="182"/>
      <c r="B23" s="266"/>
      <c r="C23" s="266"/>
      <c r="D23" s="60"/>
      <c r="E23" s="60"/>
      <c r="F23" s="3"/>
      <c r="G23" s="183"/>
      <c r="H23" s="185"/>
      <c r="I23" s="1"/>
      <c r="M23" s="3"/>
    </row>
    <row r="24" spans="1:14" ht="18" thickBot="1" x14ac:dyDescent="0.35">
      <c r="A24" s="292" t="s">
        <v>175</v>
      </c>
      <c r="B24" s="293"/>
      <c r="C24" s="196"/>
      <c r="D24" s="196"/>
      <c r="E24" s="196"/>
      <c r="F24" s="196"/>
      <c r="G24" s="196"/>
      <c r="H24" s="187">
        <f>SUM(H25:H28)</f>
        <v>16250</v>
      </c>
      <c r="I24" s="1"/>
      <c r="M24" s="3"/>
    </row>
    <row r="25" spans="1:14" ht="17.25" x14ac:dyDescent="0.3">
      <c r="A25" s="1" t="s">
        <v>177</v>
      </c>
      <c r="B25" s="1"/>
      <c r="C25" s="1"/>
      <c r="D25" s="60" t="s">
        <v>165</v>
      </c>
      <c r="E25" s="60">
        <v>650</v>
      </c>
      <c r="F25" s="3">
        <v>5</v>
      </c>
      <c r="G25" s="183">
        <f>IF(F25="","",F25/8)</f>
        <v>0.625</v>
      </c>
      <c r="H25" s="185">
        <f>IF(E25="","",F25*E25)</f>
        <v>3250</v>
      </c>
      <c r="I25" s="1"/>
      <c r="M25" s="3"/>
    </row>
    <row r="26" spans="1:14" ht="17.25" x14ac:dyDescent="0.3">
      <c r="A26" s="1" t="s">
        <v>178</v>
      </c>
      <c r="B26" s="1"/>
      <c r="C26" s="1"/>
      <c r="D26" s="60" t="s">
        <v>165</v>
      </c>
      <c r="E26" s="60">
        <v>650</v>
      </c>
      <c r="F26" s="3">
        <v>15</v>
      </c>
      <c r="G26" s="183">
        <f>IF(F26="","",F26/8)</f>
        <v>1.875</v>
      </c>
      <c r="H26" s="185">
        <f>IF(E26="","",F26*E26)</f>
        <v>9750</v>
      </c>
      <c r="I26" s="1"/>
      <c r="M26" s="3"/>
    </row>
    <row r="27" spans="1:14" ht="17.25" x14ac:dyDescent="0.3">
      <c r="A27" s="1" t="s">
        <v>168</v>
      </c>
      <c r="B27" s="1"/>
      <c r="C27" s="1"/>
      <c r="D27" s="60" t="s">
        <v>165</v>
      </c>
      <c r="E27" s="60">
        <v>650</v>
      </c>
      <c r="F27" s="3">
        <v>2</v>
      </c>
      <c r="G27" s="183">
        <f>IF(F27="","",F27/8)</f>
        <v>0.25</v>
      </c>
      <c r="H27" s="185">
        <f>IF(E27="","",F27*E27)</f>
        <v>1300</v>
      </c>
      <c r="I27" s="1"/>
    </row>
    <row r="28" spans="1:14" ht="17.25" x14ac:dyDescent="0.3">
      <c r="A28" s="1" t="s">
        <v>169</v>
      </c>
      <c r="B28" s="1"/>
      <c r="C28" s="1"/>
      <c r="D28" s="60" t="s">
        <v>165</v>
      </c>
      <c r="E28" s="60">
        <v>650</v>
      </c>
      <c r="F28" s="3">
        <v>3</v>
      </c>
      <c r="G28" s="183">
        <f>IF(F28="","",F28/8)</f>
        <v>0.375</v>
      </c>
      <c r="H28" s="185">
        <f>IF(E28="","",F28*E28)</f>
        <v>1950</v>
      </c>
      <c r="I28" s="1"/>
    </row>
    <row r="29" spans="1:14" ht="17.25" x14ac:dyDescent="0.3">
      <c r="I29" s="1"/>
    </row>
    <row r="30" spans="1:14" ht="18" thickBot="1" x14ac:dyDescent="0.35">
      <c r="A30" s="1"/>
      <c r="B30" s="1"/>
      <c r="D30" s="60"/>
      <c r="E30" s="60"/>
      <c r="F30" s="3"/>
      <c r="G30" s="183" t="str">
        <f t="shared" ref="G30" si="0">IF(F30="","",F30/8)</f>
        <v/>
      </c>
      <c r="H30" s="185"/>
      <c r="I30" s="1"/>
    </row>
    <row r="31" spans="1:14" ht="18" thickBot="1" x14ac:dyDescent="0.35">
      <c r="G31" s="183" t="str">
        <f t="shared" ref="G31" si="1">IF(F31="","",F31/8)</f>
        <v/>
      </c>
      <c r="H31" s="159"/>
      <c r="I31" s="1"/>
      <c r="J31" s="100" t="s">
        <v>89</v>
      </c>
      <c r="K31" s="102" t="s">
        <v>83</v>
      </c>
      <c r="L31" s="103" t="s">
        <v>78</v>
      </c>
      <c r="M31" s="104" t="s">
        <v>81</v>
      </c>
      <c r="N31" s="101" t="s">
        <v>79</v>
      </c>
    </row>
    <row r="32" spans="1:14" ht="18" x14ac:dyDescent="0.3">
      <c r="A32" s="73"/>
      <c r="B32" s="73"/>
      <c r="D32" s="91"/>
      <c r="F32" s="91" t="s">
        <v>76</v>
      </c>
      <c r="G32" s="73"/>
      <c r="H32" s="184">
        <f>H15+H20+H24</f>
        <v>40834</v>
      </c>
      <c r="I32" s="1"/>
      <c r="J32" s="106">
        <f>H34</f>
        <v>40834</v>
      </c>
      <c r="K32" s="60">
        <f>J32*0.05</f>
        <v>2041.7</v>
      </c>
      <c r="L32" s="60">
        <f>J32-K32</f>
        <v>38792.300000000003</v>
      </c>
      <c r="M32" s="106">
        <f>L32-N32</f>
        <v>22628.841666666667</v>
      </c>
      <c r="N32" s="108">
        <f>L32/2.4</f>
        <v>16163.458333333336</v>
      </c>
    </row>
    <row r="33" spans="1:13" ht="18.75" thickBot="1" x14ac:dyDescent="0.35">
      <c r="A33" s="73"/>
      <c r="B33" s="73"/>
      <c r="C33" s="73"/>
      <c r="F33" s="91" t="s">
        <v>75</v>
      </c>
      <c r="G33" s="74">
        <v>0</v>
      </c>
      <c r="H33" s="184">
        <f>H32*G33</f>
        <v>0</v>
      </c>
      <c r="I33" s="1"/>
      <c r="M33" s="96"/>
    </row>
    <row r="34" spans="1:13" ht="19.5" thickBot="1" x14ac:dyDescent="0.35">
      <c r="A34" s="1"/>
      <c r="B34" s="1"/>
      <c r="C34" s="1"/>
      <c r="D34" s="1"/>
      <c r="F34" s="134" t="s">
        <v>67</v>
      </c>
      <c r="G34" s="135"/>
      <c r="H34" s="186">
        <f>(H32-H33)</f>
        <v>40834</v>
      </c>
      <c r="I34" s="1"/>
      <c r="J34" s="99" t="s">
        <v>80</v>
      </c>
      <c r="K34" s="94"/>
      <c r="L34" s="94"/>
      <c r="M34" s="107">
        <f>M32*0.15</f>
        <v>3394.3262500000001</v>
      </c>
    </row>
    <row r="35" spans="1:13" ht="18" thickBot="1" x14ac:dyDescent="0.35">
      <c r="A35" s="1"/>
      <c r="B35" s="1"/>
      <c r="C35" s="1"/>
      <c r="D35" s="1"/>
      <c r="E35" s="1"/>
      <c r="F35" s="1"/>
      <c r="G35" s="1"/>
      <c r="H35" s="1"/>
      <c r="I35" s="1"/>
    </row>
    <row r="36" spans="1:13" ht="18" thickBot="1" x14ac:dyDescent="0.35">
      <c r="A36" s="78"/>
      <c r="B36" s="78"/>
      <c r="C36" s="78"/>
      <c r="D36" s="78"/>
      <c r="E36" s="78"/>
      <c r="F36" s="78"/>
      <c r="G36" s="78"/>
      <c r="H36" s="78"/>
      <c r="I36" s="1"/>
      <c r="J36" s="98" t="s">
        <v>82</v>
      </c>
      <c r="K36" s="94"/>
      <c r="L36" s="94"/>
      <c r="M36" s="107">
        <f>M32-M34</f>
        <v>19234.515416666669</v>
      </c>
    </row>
    <row r="37" spans="1:13" ht="18" thickBot="1" x14ac:dyDescent="0.35">
      <c r="H37" s="159"/>
      <c r="I37" s="1"/>
    </row>
    <row r="38" spans="1:13" ht="19.5" thickBot="1" x14ac:dyDescent="0.35">
      <c r="A38" s="194" t="s">
        <v>69</v>
      </c>
      <c r="B38" s="147"/>
      <c r="C38" s="148"/>
      <c r="D38" s="1"/>
      <c r="E38" s="3"/>
      <c r="F38" s="1"/>
      <c r="G38" s="1"/>
      <c r="H38" s="1"/>
      <c r="I38" s="1"/>
      <c r="J38" s="1"/>
      <c r="K38" s="93"/>
      <c r="M38" s="96"/>
    </row>
    <row r="39" spans="1:13" ht="18" thickBot="1" x14ac:dyDescent="0.35">
      <c r="A39" s="130" t="s">
        <v>59</v>
      </c>
      <c r="B39" s="121"/>
      <c r="C39" s="121"/>
      <c r="D39" s="121"/>
      <c r="E39" s="121"/>
      <c r="F39" s="121"/>
      <c r="G39" s="199"/>
      <c r="H39" s="122"/>
    </row>
    <row r="40" spans="1:13" ht="18" thickBot="1" x14ac:dyDescent="0.35">
      <c r="I40" s="1"/>
      <c r="J40" s="161" t="s">
        <v>108</v>
      </c>
      <c r="K40" s="161" t="s">
        <v>109</v>
      </c>
      <c r="L40" s="161" t="s">
        <v>110</v>
      </c>
      <c r="M40" s="60"/>
    </row>
    <row r="41" spans="1:13" ht="18" thickBot="1" x14ac:dyDescent="0.35">
      <c r="A41" s="149" t="s">
        <v>77</v>
      </c>
      <c r="B41" s="150"/>
      <c r="C41" s="71"/>
      <c r="D41" s="121" t="s">
        <v>61</v>
      </c>
      <c r="E41" s="121" t="s">
        <v>68</v>
      </c>
      <c r="F41" s="121" t="s">
        <v>70</v>
      </c>
      <c r="G41" s="198"/>
      <c r="H41" s="187">
        <f>SUM(H42:H44)</f>
        <v>12900</v>
      </c>
      <c r="I41" s="1"/>
      <c r="J41" s="162" t="s">
        <v>105</v>
      </c>
      <c r="K41" s="163">
        <v>0.6</v>
      </c>
      <c r="L41" s="164">
        <f>J32*K41</f>
        <v>24500.399999999998</v>
      </c>
    </row>
    <row r="42" spans="1:13" ht="17.25" x14ac:dyDescent="0.3">
      <c r="A42" s="182" t="s">
        <v>172</v>
      </c>
      <c r="B42" s="182"/>
      <c r="C42" s="1"/>
      <c r="D42" s="60"/>
      <c r="E42" s="5">
        <v>50</v>
      </c>
      <c r="F42" s="1">
        <v>193</v>
      </c>
      <c r="G42" s="70"/>
      <c r="H42" s="185">
        <f>F42*E42</f>
        <v>9650</v>
      </c>
      <c r="I42" s="1"/>
      <c r="J42" s="162" t="s">
        <v>106</v>
      </c>
      <c r="K42" s="163">
        <v>0.32</v>
      </c>
      <c r="L42" s="164">
        <f>J32*K42</f>
        <v>13066.880000000001</v>
      </c>
    </row>
    <row r="43" spans="1:13" ht="18" thickBot="1" x14ac:dyDescent="0.35">
      <c r="A43" s="1" t="s">
        <v>170</v>
      </c>
      <c r="H43" s="185">
        <v>1950</v>
      </c>
      <c r="J43" s="165" t="s">
        <v>107</v>
      </c>
      <c r="K43" s="166">
        <v>0.08</v>
      </c>
      <c r="L43" s="167">
        <f>J32*K43</f>
        <v>3266.7200000000003</v>
      </c>
      <c r="M43" s="1"/>
    </row>
    <row r="44" spans="1:13" ht="18" thickBot="1" x14ac:dyDescent="0.35">
      <c r="A44" s="1" t="s">
        <v>171</v>
      </c>
      <c r="H44" s="185">
        <v>1300</v>
      </c>
      <c r="J44" s="168" t="s">
        <v>3</v>
      </c>
      <c r="K44" s="169">
        <f>SUM(K41:K43)</f>
        <v>0.99999999999999989</v>
      </c>
      <c r="L44" s="160">
        <f>SUM(L41:L43)</f>
        <v>40834</v>
      </c>
      <c r="M44" s="1"/>
    </row>
    <row r="45" spans="1:13" ht="18" thickBot="1" x14ac:dyDescent="0.35">
      <c r="A45" s="1"/>
      <c r="H45" s="185"/>
      <c r="J45" s="326"/>
      <c r="K45" s="327"/>
      <c r="L45" s="328"/>
      <c r="M45" s="1"/>
    </row>
    <row r="46" spans="1:13" ht="18" thickBot="1" x14ac:dyDescent="0.35">
      <c r="A46" s="292" t="s">
        <v>176</v>
      </c>
      <c r="B46" s="293"/>
      <c r="C46" s="196"/>
      <c r="D46" s="196"/>
      <c r="E46" s="196"/>
      <c r="F46" s="196"/>
      <c r="G46" s="196"/>
      <c r="H46" s="187">
        <f>SUM(H47:H49)</f>
        <v>10560</v>
      </c>
      <c r="J46" s="326"/>
      <c r="K46" s="327"/>
      <c r="L46" s="328"/>
      <c r="M46" s="1"/>
    </row>
    <row r="47" spans="1:13" ht="17.25" x14ac:dyDescent="0.3">
      <c r="A47" s="182" t="s">
        <v>173</v>
      </c>
      <c r="E47" s="5">
        <v>180</v>
      </c>
      <c r="F47" s="1">
        <v>32</v>
      </c>
      <c r="H47" s="185">
        <f>F47*E47</f>
        <v>5760</v>
      </c>
      <c r="J47" s="326"/>
      <c r="K47" s="327"/>
      <c r="L47" s="328"/>
      <c r="M47" s="1"/>
    </row>
    <row r="48" spans="1:13" ht="17.25" x14ac:dyDescent="0.3">
      <c r="A48" s="182" t="s">
        <v>174</v>
      </c>
      <c r="E48" s="5">
        <v>150</v>
      </c>
      <c r="F48" s="1">
        <v>32</v>
      </c>
      <c r="H48" s="185">
        <f>F48*E48</f>
        <v>4800</v>
      </c>
      <c r="J48" s="326"/>
      <c r="K48" s="327"/>
      <c r="L48" s="328"/>
      <c r="M48" s="1"/>
    </row>
    <row r="49" spans="1:13" ht="18" thickBot="1" x14ac:dyDescent="0.35">
      <c r="J49" s="326"/>
      <c r="K49" s="327"/>
      <c r="L49" s="328"/>
      <c r="M49" s="1"/>
    </row>
    <row r="50" spans="1:13" ht="18" thickBot="1" x14ac:dyDescent="0.35">
      <c r="A50" s="292" t="s">
        <v>175</v>
      </c>
      <c r="B50" s="293"/>
      <c r="C50" s="196"/>
      <c r="D50" s="196"/>
      <c r="E50" s="196"/>
      <c r="F50" s="196"/>
      <c r="G50" s="196"/>
      <c r="H50" s="187">
        <f>SUM(H51:H54)</f>
        <v>17450</v>
      </c>
      <c r="J50" s="326"/>
      <c r="K50" s="327"/>
      <c r="L50" s="328"/>
      <c r="M50" s="1"/>
    </row>
    <row r="51" spans="1:13" ht="17.25" x14ac:dyDescent="0.3">
      <c r="A51" s="1" t="s">
        <v>177</v>
      </c>
      <c r="B51" s="182"/>
      <c r="D51" s="60" t="s">
        <v>73</v>
      </c>
      <c r="E51" s="5">
        <v>100</v>
      </c>
      <c r="F51" s="1">
        <v>32</v>
      </c>
      <c r="G51" s="1"/>
      <c r="H51" s="185">
        <f>F51*E51</f>
        <v>3200</v>
      </c>
      <c r="M51" s="1"/>
    </row>
    <row r="52" spans="1:13" ht="17.25" x14ac:dyDescent="0.3">
      <c r="A52" s="1" t="s">
        <v>178</v>
      </c>
      <c r="B52" s="182"/>
      <c r="D52" s="60" t="s">
        <v>73</v>
      </c>
      <c r="E52" s="5">
        <v>50</v>
      </c>
      <c r="F52" s="1">
        <v>193</v>
      </c>
      <c r="G52" s="1"/>
      <c r="H52" s="185">
        <f>F52*E52</f>
        <v>9650</v>
      </c>
      <c r="M52" s="1"/>
    </row>
    <row r="53" spans="1:13" ht="17.25" x14ac:dyDescent="0.3">
      <c r="A53" s="1" t="s">
        <v>168</v>
      </c>
      <c r="B53" s="182"/>
      <c r="D53" s="60" t="s">
        <v>73</v>
      </c>
      <c r="E53" s="5">
        <v>6</v>
      </c>
      <c r="F53" s="1">
        <v>225</v>
      </c>
      <c r="G53" s="1"/>
      <c r="H53" s="185">
        <f>F53*E53</f>
        <v>1350</v>
      </c>
      <c r="M53" s="1"/>
    </row>
    <row r="54" spans="1:13" ht="17.25" x14ac:dyDescent="0.3">
      <c r="A54" s="1" t="s">
        <v>169</v>
      </c>
      <c r="B54" s="182"/>
      <c r="D54" s="60" t="s">
        <v>73</v>
      </c>
      <c r="E54" s="5">
        <v>50</v>
      </c>
      <c r="F54" s="1">
        <v>65</v>
      </c>
      <c r="G54" s="1"/>
      <c r="H54" s="185">
        <f>F54*E54</f>
        <v>3250</v>
      </c>
      <c r="M54" s="1"/>
    </row>
    <row r="55" spans="1:13" ht="17.25" x14ac:dyDescent="0.3">
      <c r="M55" s="1"/>
    </row>
    <row r="56" spans="1:13" ht="18" x14ac:dyDescent="0.3">
      <c r="A56" s="73"/>
      <c r="C56" s="73"/>
      <c r="D56" s="73"/>
      <c r="F56" s="91" t="s">
        <v>113</v>
      </c>
      <c r="G56" s="73"/>
      <c r="H56" s="184">
        <f>H41+H46+H50</f>
        <v>40910</v>
      </c>
      <c r="J56" s="159"/>
      <c r="M56" s="1"/>
    </row>
    <row r="57" spans="1:13" ht="18.75" thickBot="1" x14ac:dyDescent="0.35">
      <c r="A57" s="73"/>
      <c r="B57" s="73"/>
      <c r="C57" s="73"/>
      <c r="E57" s="133"/>
      <c r="F57" s="91" t="s">
        <v>75</v>
      </c>
      <c r="G57" s="74">
        <v>0</v>
      </c>
      <c r="H57" s="184">
        <f>H56*G57</f>
        <v>0</v>
      </c>
      <c r="J57" s="159"/>
      <c r="M57" s="1"/>
    </row>
    <row r="58" spans="1:13" ht="19.5" thickBot="1" x14ac:dyDescent="0.35">
      <c r="A58" s="1"/>
      <c r="B58" s="1"/>
      <c r="C58" s="1"/>
      <c r="D58" s="1"/>
      <c r="E58" s="1"/>
      <c r="F58" s="1"/>
      <c r="G58" s="75" t="s">
        <v>67</v>
      </c>
      <c r="H58" s="186">
        <f>H56</f>
        <v>40910</v>
      </c>
      <c r="L58" s="1"/>
      <c r="M58" s="93"/>
    </row>
    <row r="59" spans="1:13" ht="17.25" x14ac:dyDescent="0.3">
      <c r="A59" s="1"/>
      <c r="B59" s="1"/>
      <c r="C59" s="1"/>
      <c r="D59" s="1"/>
      <c r="E59" s="1"/>
      <c r="F59" s="1"/>
      <c r="G59" s="1"/>
      <c r="H59" s="1"/>
    </row>
    <row r="60" spans="1:13" ht="17.25" x14ac:dyDescent="0.3">
      <c r="A60" s="78"/>
      <c r="B60" s="78"/>
      <c r="C60" s="78"/>
      <c r="D60" s="78"/>
      <c r="E60" s="78"/>
      <c r="F60" s="78"/>
      <c r="G60" s="78"/>
      <c r="H60" s="78"/>
      <c r="J60" s="5"/>
      <c r="K60" s="5"/>
      <c r="M60" s="1"/>
    </row>
    <row r="61" spans="1:13" ht="18" thickBot="1" x14ac:dyDescent="0.35">
      <c r="L61" s="1"/>
      <c r="M61" s="1"/>
    </row>
    <row r="62" spans="1:13" ht="19.5" thickBot="1" x14ac:dyDescent="0.35">
      <c r="A62" s="195" t="s">
        <v>65</v>
      </c>
      <c r="B62" s="196"/>
      <c r="C62" s="197"/>
      <c r="D62" s="1"/>
      <c r="E62" s="1"/>
      <c r="F62" s="1"/>
      <c r="G62" s="1"/>
      <c r="H62" s="1"/>
      <c r="J62" t="s">
        <v>101</v>
      </c>
      <c r="K62" t="s">
        <v>102</v>
      </c>
      <c r="L62" t="s">
        <v>103</v>
      </c>
      <c r="M62" t="s">
        <v>104</v>
      </c>
    </row>
    <row r="63" spans="1:13" ht="18" thickBot="1" x14ac:dyDescent="0.35">
      <c r="A63" s="130" t="s">
        <v>13</v>
      </c>
      <c r="B63" s="121"/>
      <c r="C63" s="121"/>
      <c r="D63" s="191"/>
      <c r="E63" s="192"/>
      <c r="F63" s="121" t="s">
        <v>68</v>
      </c>
      <c r="G63" s="192" t="s">
        <v>14</v>
      </c>
      <c r="H63" s="193" t="s">
        <v>87</v>
      </c>
      <c r="J63" s="153" t="s">
        <v>93</v>
      </c>
      <c r="K63" s="158">
        <v>20000</v>
      </c>
      <c r="L63" s="92">
        <v>1</v>
      </c>
      <c r="M63" s="155">
        <f t="shared" ref="M63:M70" si="2">K63*L63</f>
        <v>20000</v>
      </c>
    </row>
    <row r="64" spans="1:13" ht="17.25" x14ac:dyDescent="0.3">
      <c r="A64" s="14"/>
      <c r="B64" s="14"/>
      <c r="C64" s="14"/>
      <c r="D64" s="14"/>
      <c r="E64" s="151"/>
      <c r="F64" s="151"/>
      <c r="G64" s="124"/>
      <c r="H64" s="151"/>
      <c r="J64" s="118" t="s">
        <v>94</v>
      </c>
      <c r="K64" s="159">
        <v>3000</v>
      </c>
      <c r="L64">
        <v>4</v>
      </c>
      <c r="M64" s="156">
        <f t="shared" si="2"/>
        <v>12000</v>
      </c>
    </row>
    <row r="65" spans="1:13" ht="17.25" x14ac:dyDescent="0.3">
      <c r="A65" s="1" t="s">
        <v>129</v>
      </c>
      <c r="B65" s="61"/>
      <c r="C65" s="4"/>
      <c r="D65" s="1"/>
      <c r="E65" s="60"/>
      <c r="F65" s="60">
        <v>8000</v>
      </c>
      <c r="G65" s="3">
        <v>150</v>
      </c>
      <c r="H65" s="60">
        <f>G65*F65</f>
        <v>1200000</v>
      </c>
      <c r="J65" s="118" t="s">
        <v>95</v>
      </c>
      <c r="K65" s="159">
        <v>5000</v>
      </c>
      <c r="L65">
        <v>2</v>
      </c>
      <c r="M65" s="156">
        <f t="shared" si="2"/>
        <v>10000</v>
      </c>
    </row>
    <row r="66" spans="1:13" ht="17.25" x14ac:dyDescent="0.3">
      <c r="A66" s="1"/>
      <c r="B66" s="61"/>
      <c r="F66" s="60"/>
      <c r="G66" s="3"/>
      <c r="H66" s="60"/>
      <c r="J66" s="118" t="s">
        <v>96</v>
      </c>
      <c r="K66" s="159">
        <v>8000</v>
      </c>
      <c r="L66">
        <v>1</v>
      </c>
      <c r="M66" s="156">
        <f t="shared" si="2"/>
        <v>8000</v>
      </c>
    </row>
    <row r="67" spans="1:13" ht="17.25" x14ac:dyDescent="0.3">
      <c r="A67" s="1"/>
      <c r="J67" s="118" t="s">
        <v>100</v>
      </c>
      <c r="K67" s="159">
        <v>5000</v>
      </c>
      <c r="L67">
        <v>1</v>
      </c>
      <c r="M67" s="156">
        <f t="shared" si="2"/>
        <v>5000</v>
      </c>
    </row>
    <row r="68" spans="1:13" ht="18" thickBot="1" x14ac:dyDescent="0.35">
      <c r="A68" s="1"/>
      <c r="B68" s="1"/>
      <c r="C68" s="1"/>
      <c r="D68" s="1" t="s">
        <v>128</v>
      </c>
      <c r="E68" s="60"/>
      <c r="F68" s="60"/>
      <c r="G68" s="3"/>
      <c r="H68" s="60"/>
      <c r="J68" s="118" t="s">
        <v>97</v>
      </c>
      <c r="K68" s="159">
        <v>2000</v>
      </c>
      <c r="L68">
        <v>1</v>
      </c>
      <c r="M68" s="156">
        <f t="shared" si="2"/>
        <v>2000</v>
      </c>
    </row>
    <row r="69" spans="1:13" ht="18" thickBot="1" x14ac:dyDescent="0.35">
      <c r="A69" s="1"/>
      <c r="B69" s="1"/>
      <c r="C69" s="1"/>
      <c r="D69" s="1"/>
      <c r="E69" s="120"/>
      <c r="F69" s="62" t="s">
        <v>3</v>
      </c>
      <c r="G69" s="63">
        <f>SUM(G64:G67)</f>
        <v>150</v>
      </c>
      <c r="H69" s="97">
        <f>SUM(H64:H68)</f>
        <v>1200000</v>
      </c>
      <c r="J69" s="118" t="s">
        <v>98</v>
      </c>
      <c r="K69" s="159">
        <v>7000</v>
      </c>
      <c r="L69">
        <v>1</v>
      </c>
      <c r="M69" s="156">
        <f t="shared" si="2"/>
        <v>7000</v>
      </c>
    </row>
    <row r="70" spans="1:13" ht="15.75" thickBot="1" x14ac:dyDescent="0.3">
      <c r="J70" s="118" t="s">
        <v>99</v>
      </c>
      <c r="K70" s="159">
        <v>15000</v>
      </c>
      <c r="L70">
        <v>1</v>
      </c>
      <c r="M70" s="156">
        <f t="shared" si="2"/>
        <v>15000</v>
      </c>
    </row>
    <row r="71" spans="1:13" ht="19.5" thickBot="1" x14ac:dyDescent="0.35">
      <c r="A71" s="205" t="s">
        <v>35</v>
      </c>
      <c r="B71" s="200"/>
      <c r="C71" s="200"/>
      <c r="D71" s="200"/>
      <c r="E71" s="274">
        <f>H69</f>
        <v>1200000</v>
      </c>
      <c r="F71" s="275"/>
      <c r="G71" s="275"/>
      <c r="H71" s="276"/>
      <c r="I71" s="1"/>
      <c r="J71" s="154"/>
      <c r="K71" s="119"/>
      <c r="L71" s="119"/>
      <c r="M71" s="157">
        <f>SUM(M63:M70)</f>
        <v>79000</v>
      </c>
    </row>
    <row r="72" spans="1:13" ht="18.75" x14ac:dyDescent="0.3">
      <c r="A72" s="202" t="s">
        <v>84</v>
      </c>
      <c r="B72" s="201"/>
      <c r="C72" s="201"/>
      <c r="D72" s="201"/>
      <c r="E72" s="277" t="s">
        <v>130</v>
      </c>
      <c r="F72" s="277"/>
      <c r="G72" s="277"/>
      <c r="H72" s="277"/>
    </row>
    <row r="73" spans="1:13" ht="15.75" thickBot="1" x14ac:dyDescent="0.3"/>
    <row r="74" spans="1:13" ht="20.25" thickBot="1" x14ac:dyDescent="0.3">
      <c r="A74" s="204" t="s">
        <v>44</v>
      </c>
      <c r="B74" s="59"/>
      <c r="C74" s="59"/>
      <c r="D74" s="59"/>
      <c r="E74" s="59"/>
      <c r="F74" s="59"/>
      <c r="G74" s="59"/>
      <c r="H74" s="129"/>
    </row>
    <row r="76" spans="1:13" ht="17.25" x14ac:dyDescent="0.25">
      <c r="A76" s="126" t="s">
        <v>21</v>
      </c>
      <c r="B76" s="127"/>
      <c r="C76" s="127"/>
      <c r="D76" s="128"/>
      <c r="E76" s="207">
        <f>IF($E$72="Medium",IF($E$71&gt;Data!D48,IF($E$71&gt;Data!D49,IF($E$71&gt;Data!D50,IF($E$71&gt;Data!D51,IF($E$71&gt;Data!D52,IF($E$71&gt;Data!D53,IF($E$71&gt;Data!D54,IF($E$71&gt;Data!D55,IF($E$71&gt;Data!D56,IF($E$71&gt;Data!D57,IF($E$71&gt;Data!D58,Data!E59,Data!E58),Data!E57),Data!E56),Data!E55),Data!E54),Data!E53),Data!E52),Data!E51),Data!E50),Data!E49),Data!E48),IF($E$72="High",(IF($E$71&gt;Data!D29,IF($E$71&gt;Data!D30,IF($E$71&gt;Data!D31,IF($E$71&gt;Data!D32,IF($E$71&gt;Data!D33,IF($E$71&gt;Data!D34,IF($E$71&gt;Data!D35,IF($E$71&gt;Data!D36,IF($E$71&gt;Data!D37,IF($E$71&gt;Data!D38,IF($E$71&gt;Data!D39,Data!E40,Data!E39),Data!E37),Data!E36),Data!E35),Data!E34),Data!E33),Data!E52),Data!E32),Data!E31),Data!E30),Data!E29)),IF($E$72="Low",(IF($E$71&gt;Data!D67,IF($E$71&gt;Data!D68,IF($E$71&gt;Data!D69,IF($E$71&gt;Data!D70,IF($E$71&gt;Data!D71,IF($E$71&gt;Data!D72,IF($E$71&gt;Data!D73,IF($E$71&gt;Data!D74,IF($E$71&gt;Data!D75,IF($E$71&gt;Data!D76,IF($E$71&gt;Data!D77,Data!E78,Data!E77),Data!E76),Data!E75),Data!E74),Data!E73),Data!E72),Data!E71),Data!E70),Data!E69),Data!E68),Data!E67)))))</f>
        <v>89897.22</v>
      </c>
      <c r="F76" s="131"/>
      <c r="G76" s="131"/>
      <c r="H76" s="132"/>
    </row>
    <row r="77" spans="1:13" ht="17.25" x14ac:dyDescent="0.25">
      <c r="A77" s="136" t="s">
        <v>49</v>
      </c>
      <c r="B77" s="61"/>
      <c r="C77" s="61"/>
      <c r="D77" s="137"/>
      <c r="E77" s="208">
        <f>IF($E$72="Medium",($E$71-(VLOOKUP($E$76,Data!E48:G59,3,FALSE)))*(VLOOKUP($E$76,Data!E48:G59,2,FALSE)),IF($E$72="High",($E$71-(VLOOKUP($E$76,Data!E29:G40,3,FALSE)))*(VLOOKUP($E$76,Data!E29:G40,2,FALSE)),IF($E$72="Low",($E$71-(VLOOKUP($E$76,Data!E66:G78,3,FALSE)))*(VLOOKUP($E$76,Data!E66:G78,2,FALSE)))))</f>
        <v>63689.8842</v>
      </c>
      <c r="F77" s="79"/>
      <c r="G77" s="79"/>
      <c r="H77" s="141"/>
    </row>
    <row r="78" spans="1:13" ht="17.25" x14ac:dyDescent="0.25">
      <c r="A78" s="136"/>
      <c r="B78" s="61"/>
      <c r="C78" s="61"/>
      <c r="D78" s="137"/>
      <c r="E78" s="208">
        <f>E76+E77</f>
        <v>153587.1042</v>
      </c>
      <c r="F78" s="79"/>
      <c r="G78" s="79"/>
      <c r="H78" s="141"/>
    </row>
    <row r="79" spans="1:13" ht="17.25" x14ac:dyDescent="0.25">
      <c r="A79" s="136" t="s">
        <v>52</v>
      </c>
      <c r="B79" s="61"/>
      <c r="C79" s="61"/>
      <c r="D79" s="137"/>
      <c r="E79" s="209">
        <v>0</v>
      </c>
      <c r="F79" s="4"/>
      <c r="G79" s="4"/>
      <c r="H79" s="144"/>
    </row>
    <row r="80" spans="1:13" ht="18" x14ac:dyDescent="0.25">
      <c r="A80" s="138" t="s">
        <v>54</v>
      </c>
      <c r="B80" s="139"/>
      <c r="C80" s="139"/>
      <c r="D80" s="140"/>
      <c r="E80" s="210">
        <f>E78+E79</f>
        <v>153587.1042</v>
      </c>
      <c r="F80" s="142"/>
      <c r="G80" s="142"/>
      <c r="H80" s="143"/>
    </row>
    <row r="81" spans="1:11" ht="15.75" thickBot="1" x14ac:dyDescent="0.3"/>
    <row r="82" spans="1:11" ht="19.5" thickBot="1" x14ac:dyDescent="0.35">
      <c r="A82" s="206" t="s">
        <v>36</v>
      </c>
      <c r="B82" s="145"/>
      <c r="C82" s="145"/>
      <c r="D82" s="146"/>
      <c r="E82" s="112" t="s">
        <v>37</v>
      </c>
      <c r="F82" s="112" t="s">
        <v>117</v>
      </c>
      <c r="G82" s="123" t="s">
        <v>66</v>
      </c>
      <c r="H82" s="112" t="s">
        <v>116</v>
      </c>
    </row>
    <row r="83" spans="1:11" ht="17.25" x14ac:dyDescent="0.3">
      <c r="A83" s="84" t="s">
        <v>123</v>
      </c>
      <c r="B83" s="124" t="s">
        <v>127</v>
      </c>
      <c r="C83" s="124"/>
      <c r="D83" s="124"/>
      <c r="E83" s="109">
        <v>0.02</v>
      </c>
      <c r="F83" s="83">
        <f>$E$80*E83</f>
        <v>3071.742084</v>
      </c>
      <c r="G83" s="109">
        <v>0.3</v>
      </c>
      <c r="H83" s="110">
        <f>IF(G83=0,F83,F83-(F83*G83))</f>
        <v>2150.2194588000002</v>
      </c>
    </row>
    <row r="84" spans="1:11" ht="17.25" x14ac:dyDescent="0.3">
      <c r="A84" s="88" t="s">
        <v>122</v>
      </c>
      <c r="B84" s="3" t="s">
        <v>125</v>
      </c>
      <c r="C84" s="3"/>
      <c r="D84" s="3"/>
      <c r="E84" s="212">
        <v>0.15</v>
      </c>
      <c r="F84" s="5">
        <f t="shared" ref="F84:F89" si="3">$E$80*E84</f>
        <v>23038.065630000001</v>
      </c>
      <c r="G84" s="212">
        <v>0.3</v>
      </c>
      <c r="H84" s="87">
        <f t="shared" ref="H84:H89" si="4">IF(G84=0,F84,F84-(F84*G84))</f>
        <v>16126.645941000001</v>
      </c>
    </row>
    <row r="85" spans="1:11" ht="17.25" x14ac:dyDescent="0.3">
      <c r="A85" s="88" t="s">
        <v>121</v>
      </c>
      <c r="B85" s="3" t="s">
        <v>124</v>
      </c>
      <c r="C85" s="3"/>
      <c r="D85" s="3"/>
      <c r="E85" s="212">
        <v>0.2</v>
      </c>
      <c r="F85" s="5">
        <f t="shared" si="3"/>
        <v>30717.420840000002</v>
      </c>
      <c r="G85" s="212">
        <v>0.3</v>
      </c>
      <c r="H85" s="87">
        <f t="shared" si="4"/>
        <v>21502.194588000002</v>
      </c>
      <c r="J85" s="216"/>
    </row>
    <row r="86" spans="1:11" ht="17.25" x14ac:dyDescent="0.3">
      <c r="A86" s="88" t="s">
        <v>45</v>
      </c>
      <c r="B86" s="3" t="s">
        <v>46</v>
      </c>
      <c r="C86" s="3"/>
      <c r="D86" s="3"/>
      <c r="E86" s="212">
        <v>0.1</v>
      </c>
      <c r="F86" s="5">
        <f t="shared" si="3"/>
        <v>15358.710420000001</v>
      </c>
      <c r="G86" s="212">
        <v>0.2</v>
      </c>
      <c r="H86" s="87">
        <f t="shared" si="4"/>
        <v>12286.968336000002</v>
      </c>
      <c r="J86" s="216"/>
    </row>
    <row r="87" spans="1:11" ht="17.25" x14ac:dyDescent="0.3">
      <c r="A87" s="88" t="s">
        <v>57</v>
      </c>
      <c r="B87" s="3" t="s">
        <v>47</v>
      </c>
      <c r="C87" s="3"/>
      <c r="D87" s="3"/>
      <c r="E87" s="212">
        <v>0.2</v>
      </c>
      <c r="F87" s="5">
        <f t="shared" si="3"/>
        <v>30717.420840000002</v>
      </c>
      <c r="G87" s="212">
        <v>0.2</v>
      </c>
      <c r="H87" s="87">
        <f>IF(G87=0,F87,F87-(F87*G87))</f>
        <v>24573.936672000003</v>
      </c>
      <c r="J87" s="216"/>
    </row>
    <row r="88" spans="1:11" ht="17.25" x14ac:dyDescent="0.3">
      <c r="A88" s="88" t="s">
        <v>50</v>
      </c>
      <c r="B88" s="3" t="s">
        <v>126</v>
      </c>
      <c r="C88" s="3"/>
      <c r="D88" s="3"/>
      <c r="E88" s="212">
        <v>0.3</v>
      </c>
      <c r="F88" s="5">
        <f t="shared" si="3"/>
        <v>46076.131260000002</v>
      </c>
      <c r="G88" s="212">
        <v>0</v>
      </c>
      <c r="H88" s="87">
        <f>IF(G88=0,F88,F88-(F88*G88))</f>
        <v>46076.131260000002</v>
      </c>
      <c r="J88" s="216"/>
    </row>
    <row r="89" spans="1:11" ht="18" thickBot="1" x14ac:dyDescent="0.35">
      <c r="A89" s="89" t="s">
        <v>120</v>
      </c>
      <c r="B89" s="125" t="s">
        <v>119</v>
      </c>
      <c r="C89" s="125"/>
      <c r="D89" s="125"/>
      <c r="E89" s="111">
        <v>0.03</v>
      </c>
      <c r="F89" s="85">
        <f t="shared" si="3"/>
        <v>4607.6131260000002</v>
      </c>
      <c r="G89" s="111">
        <v>0</v>
      </c>
      <c r="H89" s="86">
        <f t="shared" si="4"/>
        <v>4607.6131260000002</v>
      </c>
      <c r="J89" s="217"/>
    </row>
    <row r="90" spans="1:11" ht="18" thickBot="1" x14ac:dyDescent="0.35">
      <c r="A90" s="1"/>
      <c r="B90" s="1"/>
      <c r="C90" s="1"/>
      <c r="F90" s="1"/>
      <c r="G90" s="3"/>
      <c r="H90" s="1"/>
    </row>
    <row r="91" spans="1:11" ht="19.5" thickBot="1" x14ac:dyDescent="0.35">
      <c r="A91" s="1"/>
      <c r="B91" s="1"/>
      <c r="C91" s="1"/>
      <c r="E91" s="267" t="s">
        <v>90</v>
      </c>
      <c r="F91" s="268"/>
      <c r="G91" s="269"/>
      <c r="H91" s="117">
        <f>H92*(1-(SUM(H83:H89)/H92))</f>
        <v>26263.394818200013</v>
      </c>
    </row>
    <row r="92" spans="1:11" ht="19.5" thickBot="1" x14ac:dyDescent="0.35">
      <c r="B92" s="113"/>
      <c r="C92" s="113"/>
      <c r="E92" s="267" t="s">
        <v>53</v>
      </c>
      <c r="F92" s="268"/>
      <c r="G92" s="269"/>
      <c r="H92" s="117">
        <f>SUM(F83:F89)</f>
        <v>153587.10420000003</v>
      </c>
    </row>
    <row r="93" spans="1:11" ht="15.75" thickBot="1" x14ac:dyDescent="0.3"/>
    <row r="94" spans="1:11" ht="18.75" thickBot="1" x14ac:dyDescent="0.3">
      <c r="E94" s="270" t="s">
        <v>114</v>
      </c>
      <c r="F94" s="271"/>
      <c r="G94" s="272"/>
      <c r="H94" s="114">
        <f>H92-H91</f>
        <v>127323.70938180001</v>
      </c>
    </row>
    <row r="95" spans="1:11" ht="17.25" x14ac:dyDescent="0.3">
      <c r="A95" s="1"/>
      <c r="B95" s="211"/>
      <c r="C95" s="188"/>
      <c r="D95" s="188"/>
      <c r="E95" s="60"/>
      <c r="F95" s="170"/>
      <c r="G95" s="4"/>
      <c r="H95" s="79"/>
    </row>
    <row r="96" spans="1:11" x14ac:dyDescent="0.25">
      <c r="K96" s="93"/>
    </row>
    <row r="97" spans="4:13" x14ac:dyDescent="0.25">
      <c r="D97" s="273"/>
      <c r="E97" s="273"/>
    </row>
    <row r="99" spans="4:13" x14ac:dyDescent="0.25">
      <c r="D99" s="273"/>
      <c r="E99" s="273"/>
      <c r="M99" s="159"/>
    </row>
    <row r="101" spans="4:13" x14ac:dyDescent="0.25">
      <c r="D101" s="273"/>
      <c r="E101" s="273"/>
      <c r="F101" s="273"/>
      <c r="G101" s="273"/>
    </row>
    <row r="102" spans="4:13" x14ac:dyDescent="0.25">
      <c r="D102" s="273"/>
      <c r="E102" s="273"/>
      <c r="F102" s="273"/>
      <c r="G102" s="273"/>
    </row>
    <row r="103" spans="4:13" x14ac:dyDescent="0.25">
      <c r="D103" s="273"/>
      <c r="E103" s="273"/>
      <c r="F103" s="273"/>
      <c r="G103" s="273"/>
    </row>
    <row r="104" spans="4:13" x14ac:dyDescent="0.25">
      <c r="D104" s="273"/>
      <c r="E104" s="273"/>
      <c r="F104" s="273"/>
      <c r="G104" s="273"/>
    </row>
    <row r="105" spans="4:13" x14ac:dyDescent="0.25">
      <c r="D105" s="273"/>
      <c r="E105" s="273"/>
      <c r="F105" s="273"/>
      <c r="G105" s="273"/>
    </row>
    <row r="106" spans="4:13" x14ac:dyDescent="0.25">
      <c r="D106" s="273"/>
      <c r="E106" s="273"/>
      <c r="F106" s="273"/>
      <c r="G106" s="273"/>
    </row>
    <row r="107" spans="4:13" x14ac:dyDescent="0.25">
      <c r="D107" s="273"/>
      <c r="E107" s="273"/>
      <c r="F107" s="273"/>
      <c r="G107" s="273"/>
    </row>
    <row r="108" spans="4:13" x14ac:dyDescent="0.25">
      <c r="D108" s="273"/>
      <c r="E108" s="273"/>
      <c r="F108" s="273"/>
      <c r="G108" s="273"/>
    </row>
    <row r="110" spans="4:13" ht="22.5" customHeight="1" x14ac:dyDescent="0.25">
      <c r="D110" s="273"/>
      <c r="E110" s="273"/>
      <c r="F110" s="273"/>
      <c r="G110" s="273"/>
    </row>
    <row r="112" spans="4:13" x14ac:dyDescent="0.25">
      <c r="J112" s="213"/>
      <c r="L112" s="159"/>
    </row>
    <row r="113" spans="4:14" x14ac:dyDescent="0.25">
      <c r="L113" s="213"/>
      <c r="M113" s="159"/>
    </row>
    <row r="115" spans="4:14" x14ac:dyDescent="0.25">
      <c r="M115" s="93"/>
    </row>
    <row r="118" spans="4:14" x14ac:dyDescent="0.25">
      <c r="N118" s="159"/>
    </row>
    <row r="121" spans="4:14" x14ac:dyDescent="0.25">
      <c r="K121" s="116"/>
    </row>
    <row r="122" spans="4:14" x14ac:dyDescent="0.25">
      <c r="K122" s="115"/>
    </row>
    <row r="123" spans="4:14" x14ac:dyDescent="0.25">
      <c r="D123" s="273"/>
      <c r="E123" s="273"/>
    </row>
    <row r="124" spans="4:14" x14ac:dyDescent="0.25">
      <c r="D124" s="273"/>
      <c r="E124" s="273"/>
    </row>
    <row r="125" spans="4:14" x14ac:dyDescent="0.25">
      <c r="D125" s="273"/>
      <c r="E125" s="273"/>
    </row>
  </sheetData>
  <mergeCells count="38">
    <mergeCell ref="A46:B46"/>
    <mergeCell ref="A50:B50"/>
    <mergeCell ref="J15:L15"/>
    <mergeCell ref="J17:L17"/>
    <mergeCell ref="A11:H11"/>
    <mergeCell ref="A13:C13"/>
    <mergeCell ref="A14:C14"/>
    <mergeCell ref="A15:B15"/>
    <mergeCell ref="A20:B20"/>
    <mergeCell ref="A24:B24"/>
    <mergeCell ref="D125:E125"/>
    <mergeCell ref="D123:E123"/>
    <mergeCell ref="E91:G91"/>
    <mergeCell ref="E71:H71"/>
    <mergeCell ref="E72:H72"/>
    <mergeCell ref="F101:G101"/>
    <mergeCell ref="F102:G102"/>
    <mergeCell ref="F103:G103"/>
    <mergeCell ref="F104:G104"/>
    <mergeCell ref="F105:G105"/>
    <mergeCell ref="F106:G106"/>
    <mergeCell ref="F107:G107"/>
    <mergeCell ref="D110:E110"/>
    <mergeCell ref="D101:E101"/>
    <mergeCell ref="D99:E99"/>
    <mergeCell ref="D97:E97"/>
    <mergeCell ref="E92:G92"/>
    <mergeCell ref="E94:G94"/>
    <mergeCell ref="D124:E124"/>
    <mergeCell ref="D102:E102"/>
    <mergeCell ref="D103:E103"/>
    <mergeCell ref="D104:E104"/>
    <mergeCell ref="D105:E105"/>
    <mergeCell ref="D106:E106"/>
    <mergeCell ref="D107:E107"/>
    <mergeCell ref="F110:G110"/>
    <mergeCell ref="D108:E108"/>
    <mergeCell ref="F108:G108"/>
  </mergeCells>
  <phoneticPr fontId="25" type="noConversion"/>
  <dataValidations count="3">
    <dataValidation type="list" allowBlank="1" showInputMessage="1" showErrorMessage="1" sqref="E72" xr:uid="{ECF54CF7-43CA-4261-8A26-6CBCF5480061}">
      <formula1>"Low,Medium,High"</formula1>
    </dataValidation>
    <dataValidation type="list" allowBlank="1" showInputMessage="1" showErrorMessage="1" sqref="D30:D31 D42 D51:D54" xr:uid="{2BB1E22E-ADAA-4776-ABC7-D83DC0E96954}">
      <formula1>"Dewald, Hannes, Johan"</formula1>
    </dataValidation>
    <dataValidation type="list" allowBlank="1" showInputMessage="1" showErrorMessage="1" sqref="D16 D21:D23 D25:D28" xr:uid="{B91E710B-48B7-4F1A-B8BB-C8744EAC391E}">
      <formula1>"Dewald, Hannes, Johan, Low"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zoomScale="85" zoomScaleNormal="85" workbookViewId="0">
      <selection activeCell="F14" sqref="F14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9.7109375" style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32</v>
      </c>
      <c r="C3" s="14"/>
      <c r="D3" s="14"/>
      <c r="E3" s="15"/>
      <c r="G3" s="4">
        <v>9</v>
      </c>
    </row>
    <row r="4" spans="2:23" ht="18" thickBot="1" x14ac:dyDescent="0.35">
      <c r="B4" s="16" t="s">
        <v>33</v>
      </c>
      <c r="C4" s="17" t="s">
        <v>34</v>
      </c>
      <c r="D4" s="22"/>
      <c r="E4" s="8" t="s">
        <v>4</v>
      </c>
      <c r="F4" s="70" t="s">
        <v>62</v>
      </c>
      <c r="G4" s="1" t="s">
        <v>72</v>
      </c>
      <c r="H4" s="81" t="s">
        <v>17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80">
        <f>Employees!G19</f>
        <v>814</v>
      </c>
      <c r="G5" s="5">
        <f>F5*G3</f>
        <v>7326</v>
      </c>
      <c r="H5" s="82">
        <f>G5+E5</f>
        <v>11099</v>
      </c>
    </row>
    <row r="7" spans="2:23" ht="18" thickBot="1" x14ac:dyDescent="0.35">
      <c r="B7" s="1" t="s">
        <v>85</v>
      </c>
    </row>
    <row r="8" spans="2:23" ht="18" thickBot="1" x14ac:dyDescent="0.35">
      <c r="M8"/>
      <c r="N8" s="28" t="s">
        <v>36</v>
      </c>
      <c r="O8" s="28"/>
      <c r="P8" s="29" t="s">
        <v>37</v>
      </c>
      <c r="Q8" s="28" t="s">
        <v>38</v>
      </c>
      <c r="R8" s="28" t="s">
        <v>39</v>
      </c>
      <c r="S8" s="28" t="s">
        <v>40</v>
      </c>
      <c r="U8" s="28" t="s">
        <v>41</v>
      </c>
      <c r="V8"/>
      <c r="W8"/>
    </row>
    <row r="9" spans="2:23" ht="18" thickBot="1" x14ac:dyDescent="0.35">
      <c r="B9" s="26" t="s">
        <v>35</v>
      </c>
      <c r="C9" s="27">
        <v>3600000</v>
      </c>
      <c r="M9"/>
      <c r="N9" s="67" t="s">
        <v>42</v>
      </c>
      <c r="O9" s="9" t="s">
        <v>43</v>
      </c>
      <c r="P9" s="31">
        <v>0.4</v>
      </c>
      <c r="Q9" s="32">
        <f>C18*P9</f>
        <v>206340.5</v>
      </c>
      <c r="R9" s="33">
        <v>0</v>
      </c>
      <c r="S9" s="34">
        <f>Q9-W9</f>
        <v>206340.5</v>
      </c>
      <c r="U9" s="35" t="s">
        <v>15</v>
      </c>
      <c r="V9"/>
      <c r="W9" s="36">
        <f>Q9*R9</f>
        <v>0</v>
      </c>
    </row>
    <row r="10" spans="2:23" x14ac:dyDescent="0.3">
      <c r="B10" s="1" t="s">
        <v>84</v>
      </c>
      <c r="C10" s="3" t="s">
        <v>118</v>
      </c>
      <c r="M10"/>
      <c r="N10" s="65" t="s">
        <v>45</v>
      </c>
      <c r="O10" s="38" t="s">
        <v>46</v>
      </c>
      <c r="P10" s="39">
        <v>0.2</v>
      </c>
      <c r="Q10" s="40">
        <f>C18*P10</f>
        <v>103170.25</v>
      </c>
      <c r="R10" s="41">
        <v>0</v>
      </c>
      <c r="S10" s="42">
        <f>Q10-W10</f>
        <v>103170.25</v>
      </c>
      <c r="U10" s="43" t="s">
        <v>15</v>
      </c>
      <c r="V10"/>
      <c r="W10" s="44">
        <f>Q10*R10</f>
        <v>0</v>
      </c>
    </row>
    <row r="11" spans="2:23" x14ac:dyDescent="0.3">
      <c r="M11"/>
      <c r="N11" s="65" t="s">
        <v>57</v>
      </c>
      <c r="O11" s="38" t="s">
        <v>47</v>
      </c>
      <c r="P11" s="39">
        <v>0.1</v>
      </c>
      <c r="Q11" s="40">
        <f>C18*P11</f>
        <v>51585.125</v>
      </c>
      <c r="R11" s="41">
        <v>0</v>
      </c>
      <c r="S11" s="42">
        <f>Q11-W11</f>
        <v>51585.125</v>
      </c>
      <c r="U11" s="43" t="s">
        <v>48</v>
      </c>
      <c r="V11"/>
      <c r="W11" s="44">
        <f>Q11*R11</f>
        <v>0</v>
      </c>
    </row>
    <row r="12" spans="2:23" ht="18" thickBot="1" x14ac:dyDescent="0.35">
      <c r="M12"/>
      <c r="N12" s="66" t="s">
        <v>50</v>
      </c>
      <c r="O12" s="20" t="s">
        <v>51</v>
      </c>
      <c r="P12" s="46">
        <v>0.3</v>
      </c>
      <c r="Q12" s="19">
        <f>C18*P12</f>
        <v>154755.375</v>
      </c>
      <c r="R12" s="47">
        <v>0</v>
      </c>
      <c r="S12" s="21">
        <f>Q12-W12</f>
        <v>154755.375</v>
      </c>
      <c r="U12" s="48" t="s">
        <v>48</v>
      </c>
      <c r="V12"/>
      <c r="W12" s="49">
        <f>Q12*R12</f>
        <v>0</v>
      </c>
    </row>
    <row r="13" spans="2:23" ht="18" thickBot="1" x14ac:dyDescent="0.35">
      <c r="B13" s="322" t="s">
        <v>44</v>
      </c>
      <c r="C13" s="323"/>
      <c r="M13"/>
      <c r="V13"/>
      <c r="W13"/>
    </row>
    <row r="14" spans="2:23" ht="18" thickBot="1" x14ac:dyDescent="0.35">
      <c r="B14" s="30" t="s">
        <v>21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307851.38</v>
      </c>
      <c r="M14"/>
      <c r="N14" s="320" t="s">
        <v>53</v>
      </c>
      <c r="O14" s="321"/>
      <c r="P14" s="55"/>
      <c r="Q14" s="51">
        <f>SUM(Q9:Q12)</f>
        <v>515851.25</v>
      </c>
      <c r="R14" s="45"/>
      <c r="S14" s="20"/>
      <c r="V14"/>
      <c r="W14"/>
    </row>
    <row r="15" spans="2:23" ht="18" thickBot="1" x14ac:dyDescent="0.35">
      <c r="B15" s="37" t="s">
        <v>49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207999.87</v>
      </c>
      <c r="E15" s="5"/>
      <c r="M15"/>
      <c r="N15" s="28" t="s">
        <v>55</v>
      </c>
      <c r="O15" s="6"/>
      <c r="P15" s="6"/>
      <c r="Q15" s="6"/>
      <c r="R15" s="7" t="s">
        <v>56</v>
      </c>
      <c r="S15" s="53">
        <f>SUM(S9:S12)</f>
        <v>515851.25</v>
      </c>
      <c r="V15"/>
      <c r="W15"/>
    </row>
    <row r="16" spans="2:23" x14ac:dyDescent="0.3">
      <c r="B16" s="37"/>
      <c r="C16" s="42">
        <f>C14+C15</f>
        <v>515851.25</v>
      </c>
    </row>
    <row r="17" spans="2:12" ht="18" thickBot="1" x14ac:dyDescent="0.35">
      <c r="B17" s="45" t="s">
        <v>52</v>
      </c>
      <c r="C17" s="50">
        <v>0</v>
      </c>
    </row>
    <row r="18" spans="2:12" ht="18" thickBot="1" x14ac:dyDescent="0.35">
      <c r="B18" s="54" t="s">
        <v>54</v>
      </c>
      <c r="C18" s="52">
        <f>C16+C17</f>
        <v>515851.25</v>
      </c>
    </row>
    <row r="24" spans="2:12" x14ac:dyDescent="0.3">
      <c r="B24" s="324" t="s">
        <v>18</v>
      </c>
      <c r="C24" s="324"/>
      <c r="D24" s="324"/>
      <c r="E24" s="324"/>
      <c r="F24" s="324"/>
      <c r="G24" s="324"/>
    </row>
    <row r="25" spans="2:12" x14ac:dyDescent="0.3">
      <c r="B25" s="325" t="s">
        <v>19</v>
      </c>
      <c r="C25" s="325" t="s">
        <v>20</v>
      </c>
      <c r="D25" s="325"/>
      <c r="E25" s="325" t="s">
        <v>21</v>
      </c>
      <c r="F25" s="325" t="s">
        <v>22</v>
      </c>
      <c r="G25" s="325"/>
      <c r="J25" s="175" t="s">
        <v>86</v>
      </c>
      <c r="K25" s="176">
        <f>IF($C$9&gt;D29,IF($C$9&gt;D30,IF($C$9&gt;D31,IF($C$9&gt;D32,IF($C$9&gt;D33,IF($C$9&gt;D34,IF($C$9&gt;D35,IF($C$9&gt;D36,IF($C$9&gt;D37,IF($C$9&gt;D38,IF($C$9&gt;D39,E40,E39),E37),E36),E35),E34),E33),100),E32),E31),E30),E29)</f>
        <v>369421.66</v>
      </c>
      <c r="L25" s="177">
        <f>VLOOKUP(K25,E29:G40,2,FALSE)</f>
        <v>0.156</v>
      </c>
    </row>
    <row r="26" spans="2:12" x14ac:dyDescent="0.3">
      <c r="B26" s="325"/>
      <c r="C26" s="10"/>
      <c r="D26" s="10"/>
      <c r="E26" s="325"/>
      <c r="F26" s="10"/>
      <c r="G26" s="10"/>
      <c r="J26" s="77" t="s">
        <v>89</v>
      </c>
      <c r="K26" s="5">
        <f>K25+L27</f>
        <v>619021.50399999996</v>
      </c>
      <c r="L26" s="178">
        <f>VLOOKUP(K25,E29:G40,3,FALSE)</f>
        <v>2000001</v>
      </c>
    </row>
    <row r="27" spans="2:12" x14ac:dyDescent="0.3">
      <c r="B27" s="325"/>
      <c r="C27" s="10" t="s">
        <v>23</v>
      </c>
      <c r="D27" s="10" t="s">
        <v>24</v>
      </c>
      <c r="E27" s="325"/>
      <c r="F27" s="10" t="s">
        <v>25</v>
      </c>
      <c r="G27" s="10" t="s">
        <v>26</v>
      </c>
      <c r="J27" s="179"/>
      <c r="K27" s="180" t="s">
        <v>112</v>
      </c>
      <c r="L27" s="181">
        <f>(C9-L26)*L25</f>
        <v>249599.84400000001</v>
      </c>
    </row>
    <row r="28" spans="2:12" x14ac:dyDescent="0.3">
      <c r="B28" s="325"/>
      <c r="C28" s="10" t="s">
        <v>27</v>
      </c>
      <c r="D28" s="10" t="s">
        <v>28</v>
      </c>
      <c r="E28" s="10" t="s">
        <v>29</v>
      </c>
      <c r="F28" s="10" t="s">
        <v>30</v>
      </c>
      <c r="G28" s="10" t="s">
        <v>31</v>
      </c>
    </row>
    <row r="29" spans="2:12" x14ac:dyDescent="0.3">
      <c r="B29" s="11">
        <v>1</v>
      </c>
      <c r="C29" s="12">
        <v>1</v>
      </c>
      <c r="D29" s="12">
        <v>200000</v>
      </c>
      <c r="E29" s="264">
        <v>13610.22</v>
      </c>
      <c r="F29" s="13">
        <v>0.2104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264">
        <v>55682.01</v>
      </c>
      <c r="F30" s="13">
        <v>0.1759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264">
        <v>134845.82999999999</v>
      </c>
      <c r="F31" s="13">
        <v>0.17379999999999998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264">
        <v>369421.66</v>
      </c>
      <c r="F32" s="13">
        <v>0.156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264">
        <v>681421.5</v>
      </c>
      <c r="F33" s="13">
        <v>0.15359999999999999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264">
        <v>1065421.3500000001</v>
      </c>
      <c r="F34" s="13">
        <v>0.13800000000000001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264">
        <v>1962421.21</v>
      </c>
      <c r="F35" s="13">
        <v>0.12939999999999999</v>
      </c>
      <c r="G35" s="12">
        <v>13000001</v>
      </c>
      <c r="K35" s="90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264">
        <v>5455141.0800000001</v>
      </c>
      <c r="F36" s="13">
        <v>0.12539999999999998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264">
        <v>16741140.960000001</v>
      </c>
      <c r="F37" s="13">
        <v>0.12140000000000001</v>
      </c>
      <c r="G37" s="12">
        <v>130000001</v>
      </c>
      <c r="K37" s="90"/>
    </row>
    <row r="38" spans="2:12" x14ac:dyDescent="0.3">
      <c r="B38" s="11">
        <v>10</v>
      </c>
      <c r="C38" s="12">
        <v>260000001</v>
      </c>
      <c r="D38" s="12">
        <v>520000000</v>
      </c>
      <c r="E38" s="264">
        <v>32528340.84</v>
      </c>
      <c r="F38" s="13">
        <v>0.11220000000000001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264">
        <v>61700340.719999999</v>
      </c>
      <c r="F39" s="13">
        <v>0.1082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71"/>
      <c r="E40" s="264">
        <v>117985140.59999999</v>
      </c>
      <c r="F40" s="13">
        <v>0.1056</v>
      </c>
      <c r="G40" s="12">
        <v>1040000001</v>
      </c>
    </row>
    <row r="43" spans="2:12" x14ac:dyDescent="0.3">
      <c r="B43" s="58" t="s">
        <v>58</v>
      </c>
      <c r="C43" s="58"/>
      <c r="D43" s="58"/>
      <c r="E43" s="58"/>
      <c r="F43" s="58"/>
      <c r="G43" s="58"/>
    </row>
    <row r="44" spans="2:12" x14ac:dyDescent="0.3">
      <c r="B44" s="10" t="s">
        <v>19</v>
      </c>
      <c r="C44" s="10" t="s">
        <v>20</v>
      </c>
      <c r="D44" s="10"/>
      <c r="E44" s="10" t="s">
        <v>21</v>
      </c>
      <c r="F44" s="318" t="s">
        <v>22</v>
      </c>
      <c r="G44" s="319"/>
      <c r="J44" s="175" t="s">
        <v>86</v>
      </c>
      <c r="K44" s="176">
        <f>IF($C$9&gt;D48,IF($C$9&gt;D49,IF($C$9&gt;D50,IF($C$9&gt;D51,IF($C$9&gt;D52,IF($C$9&gt;D53,IF($C$9&gt;D54,IF($C$9&gt;D55,IF($C$9&gt;D56,IF($C$9&gt;D57,IF($C$9&gt;D58,E59,E58),E57),E56),E55),E54),E53),100),E51),E50),E49),E48)</f>
        <v>307851.38</v>
      </c>
      <c r="L44" s="177">
        <f>VLOOKUP(K44,E48:G59,2,FALSE)</f>
        <v>0.13</v>
      </c>
    </row>
    <row r="45" spans="2:12" x14ac:dyDescent="0.3">
      <c r="B45" s="10"/>
      <c r="C45" s="10"/>
      <c r="D45" s="10"/>
      <c r="E45" s="10"/>
      <c r="F45" s="10"/>
      <c r="G45" s="10"/>
      <c r="J45" s="77" t="s">
        <v>89</v>
      </c>
      <c r="K45" s="5">
        <f>K44+L46</f>
        <v>515851.25</v>
      </c>
      <c r="L45" s="178">
        <f>VLOOKUP(K44,E48:G59,3,FALSE)</f>
        <v>2000001</v>
      </c>
    </row>
    <row r="46" spans="2:12" x14ac:dyDescent="0.3">
      <c r="B46" s="10"/>
      <c r="C46" s="10" t="s">
        <v>23</v>
      </c>
      <c r="D46" s="10" t="s">
        <v>24</v>
      </c>
      <c r="E46" s="10"/>
      <c r="F46" s="10" t="s">
        <v>25</v>
      </c>
      <c r="G46" s="10" t="s">
        <v>26</v>
      </c>
      <c r="J46" s="179"/>
      <c r="K46" s="180" t="s">
        <v>112</v>
      </c>
      <c r="L46" s="181">
        <f>(C9-L45)*L44</f>
        <v>207999.87</v>
      </c>
    </row>
    <row r="47" spans="2:12" x14ac:dyDescent="0.3">
      <c r="B47" s="10"/>
      <c r="C47" s="10" t="s">
        <v>27</v>
      </c>
      <c r="D47" s="10" t="s">
        <v>28</v>
      </c>
      <c r="E47" s="10" t="s">
        <v>29</v>
      </c>
      <c r="F47" s="10" t="s">
        <v>30</v>
      </c>
      <c r="G47" s="10" t="s">
        <v>31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11341.85</v>
      </c>
      <c r="F48" s="13">
        <v>0.17530000000000001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46401.67</v>
      </c>
      <c r="F49" s="13">
        <v>0.14660000000000001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112371.53</v>
      </c>
      <c r="F50" s="13">
        <v>0.14480000000000001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307851.38</v>
      </c>
      <c r="F51" s="13">
        <v>0.13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567851.25</v>
      </c>
      <c r="F52" s="13">
        <v>0.128</v>
      </c>
      <c r="G52" s="12">
        <v>4000001</v>
      </c>
      <c r="K52" s="5"/>
      <c r="L52" s="95"/>
    </row>
    <row r="53" spans="2:12" x14ac:dyDescent="0.3">
      <c r="B53" s="11">
        <v>6</v>
      </c>
      <c r="C53" s="12">
        <v>6500001</v>
      </c>
      <c r="D53" s="12">
        <v>13000000</v>
      </c>
      <c r="E53" s="68">
        <v>887851.13</v>
      </c>
      <c r="F53" s="13">
        <v>0.115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1635351.01</v>
      </c>
      <c r="F54" s="13">
        <v>0.10779999999999999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4545950.9000000004</v>
      </c>
      <c r="F55" s="13">
        <v>0.1045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13950950.800000001</v>
      </c>
      <c r="F56" s="13">
        <v>0.1012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27106950.699999999</v>
      </c>
      <c r="F57" s="13">
        <v>9.35E-2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12">
        <v>51416950.600000001</v>
      </c>
      <c r="F58" s="13">
        <v>9.0200000000000002E-2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71"/>
      <c r="E59" s="12">
        <v>98320950.510000005</v>
      </c>
      <c r="F59" s="13">
        <v>8.8000000000000009E-2</v>
      </c>
      <c r="G59" s="12">
        <v>1040000001</v>
      </c>
    </row>
    <row r="60" spans="2:12" x14ac:dyDescent="0.3">
      <c r="B60" s="96"/>
      <c r="C60" s="172"/>
      <c r="D60" s="173"/>
      <c r="E60" s="172"/>
      <c r="F60" s="174"/>
      <c r="G60" s="172"/>
      <c r="L60" s="56"/>
    </row>
    <row r="61" spans="2:12" x14ac:dyDescent="0.3">
      <c r="K61" s="90"/>
      <c r="L61" s="64"/>
    </row>
    <row r="62" spans="2:12" x14ac:dyDescent="0.3">
      <c r="B62" s="58" t="s">
        <v>111</v>
      </c>
      <c r="C62" s="58"/>
      <c r="D62" s="58"/>
      <c r="E62" s="58"/>
      <c r="F62" s="58"/>
      <c r="G62" s="58"/>
    </row>
    <row r="63" spans="2:12" x14ac:dyDescent="0.3">
      <c r="B63" s="10" t="s">
        <v>19</v>
      </c>
      <c r="C63" s="10" t="s">
        <v>20</v>
      </c>
      <c r="D63" s="10"/>
      <c r="E63" s="10" t="s">
        <v>21</v>
      </c>
      <c r="F63" s="189" t="s">
        <v>22</v>
      </c>
      <c r="G63" s="190"/>
      <c r="J63" s="175" t="s">
        <v>86</v>
      </c>
      <c r="K63" s="176">
        <f>IF($C$9&gt;D67,IF($C$9&gt;D68,IF($C$9&gt;D69,IF($C$9&gt;D70,IF($C$9&gt;D71,IF($C$9&gt;D72,IF($C$9&gt;D73,IF($C$9&gt;D74,IF($C$9&gt;D75,IF($C$9&gt;D76,IF($C$9&gt;D77,E78,E77),E76),E75),E74),E73),E72),100),E70),E69),E68),E67)</f>
        <v>246281.11</v>
      </c>
      <c r="L63" s="177">
        <f>VLOOKUP(K63,E67:G78,2,FALSE)</f>
        <v>0.10400000000000001</v>
      </c>
    </row>
    <row r="64" spans="2:12" x14ac:dyDescent="0.3">
      <c r="B64" s="10"/>
      <c r="C64" s="10"/>
      <c r="D64" s="10"/>
      <c r="E64" s="10"/>
      <c r="F64" s="10"/>
      <c r="G64" s="10"/>
      <c r="J64" s="77" t="s">
        <v>89</v>
      </c>
      <c r="K64" s="5">
        <f>K63+L65</f>
        <v>412681.00599999999</v>
      </c>
      <c r="L64" s="178">
        <f>VLOOKUP(K63,E67:G78,3,FALSE)</f>
        <v>2000001</v>
      </c>
    </row>
    <row r="65" spans="2:12" x14ac:dyDescent="0.3">
      <c r="B65" s="10"/>
      <c r="C65" s="10" t="s">
        <v>23</v>
      </c>
      <c r="D65" s="10" t="s">
        <v>24</v>
      </c>
      <c r="E65" s="10"/>
      <c r="F65" s="10" t="s">
        <v>25</v>
      </c>
      <c r="G65" s="10" t="s">
        <v>26</v>
      </c>
      <c r="J65" s="179"/>
      <c r="K65" s="180" t="s">
        <v>112</v>
      </c>
      <c r="L65" s="181">
        <f>(C9-L64)*L63</f>
        <v>166399.89600000001</v>
      </c>
    </row>
    <row r="66" spans="2:12" x14ac:dyDescent="0.3">
      <c r="B66" s="10"/>
      <c r="C66" s="10" t="s">
        <v>27</v>
      </c>
      <c r="D66" s="10" t="s">
        <v>28</v>
      </c>
      <c r="E66" s="10" t="s">
        <v>29</v>
      </c>
      <c r="F66" s="10" t="s">
        <v>30</v>
      </c>
      <c r="G66" s="10" t="s">
        <v>31</v>
      </c>
    </row>
    <row r="67" spans="2:12" x14ac:dyDescent="0.3">
      <c r="B67" s="11">
        <v>1</v>
      </c>
      <c r="C67" s="12">
        <v>1</v>
      </c>
      <c r="D67" s="12">
        <v>200000</v>
      </c>
      <c r="E67" s="68">
        <v>9073.48</v>
      </c>
      <c r="F67" s="13">
        <v>0.14019999999999999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37121.339999999997</v>
      </c>
      <c r="F68" s="13">
        <v>0.1173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89897.22</v>
      </c>
      <c r="F69" s="13">
        <v>0.1158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246281.11</v>
      </c>
      <c r="F70" s="13">
        <v>0.10400000000000001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454281</v>
      </c>
      <c r="F71" s="13">
        <v>0.1024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710280.9</v>
      </c>
      <c r="F72" s="13">
        <v>9.1999999999999998E-2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1308280.81</v>
      </c>
      <c r="F73" s="13">
        <v>8.6199999999999999E-2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3636760.72</v>
      </c>
      <c r="F74" s="13">
        <v>8.3599999999999994E-2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11160760.640000001</v>
      </c>
      <c r="F75" s="13">
        <v>8.1000000000000003E-2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21685560.559999999</v>
      </c>
      <c r="F76" s="13">
        <v>7.4800000000000005E-2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12">
        <v>41133560.479999997</v>
      </c>
      <c r="F77" s="13">
        <v>7.22E-2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71"/>
      <c r="E78" s="12">
        <v>78656760.409999996</v>
      </c>
      <c r="F78" s="13">
        <v>7.0400000000000004E-2</v>
      </c>
      <c r="G78" s="12">
        <v>1040000001</v>
      </c>
    </row>
  </sheetData>
  <mergeCells count="8">
    <mergeCell ref="F44:G44"/>
    <mergeCell ref="N14:O14"/>
    <mergeCell ref="B13:C13"/>
    <mergeCell ref="B24:G24"/>
    <mergeCell ref="B25:B28"/>
    <mergeCell ref="C25:D25"/>
    <mergeCell ref="E25:E27"/>
    <mergeCell ref="F25:G25"/>
  </mergeCells>
  <dataValidations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 Fees (MS)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Dewald Potgieter</cp:lastModifiedBy>
  <cp:lastPrinted>2022-09-21T07:15:25Z</cp:lastPrinted>
  <dcterms:created xsi:type="dcterms:W3CDTF">2022-07-11T17:42:49Z</dcterms:created>
  <dcterms:modified xsi:type="dcterms:W3CDTF">2026-04-24T09:03:54Z</dcterms:modified>
</cp:coreProperties>
</file>