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2 - Eric Eyre (Royalston)\"/>
    </mc:Choice>
  </mc:AlternateContent>
  <xr:revisionPtr revIDLastSave="0" documentId="13_ncr:1_{30836A47-596D-4928-BF15-98AD53F4D470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2D-3D)" sheetId="3" r:id="rId2"/>
    <sheet name=" Fees (2D)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G23" i="3" s="1"/>
  <c r="E22" i="3"/>
  <c r="F22" i="3"/>
  <c r="F17" i="3"/>
  <c r="F18" i="3"/>
  <c r="G17" i="3"/>
  <c r="H40" i="3"/>
  <c r="H41" i="3"/>
  <c r="H39" i="3"/>
  <c r="M72" i="4"/>
  <c r="M71" i="4"/>
  <c r="G61" i="4"/>
  <c r="M70" i="4"/>
  <c r="M69" i="4"/>
  <c r="M68" i="4"/>
  <c r="M67" i="4"/>
  <c r="H57" i="4"/>
  <c r="H61" i="4" s="1"/>
  <c r="E63" i="4" s="1"/>
  <c r="M66" i="4"/>
  <c r="M65" i="4"/>
  <c r="K40" i="4"/>
  <c r="H40" i="4"/>
  <c r="H39" i="4"/>
  <c r="H38" i="4"/>
  <c r="G27" i="4"/>
  <c r="F24" i="4"/>
  <c r="G24" i="4" s="1"/>
  <c r="F23" i="4"/>
  <c r="G23" i="4" s="1"/>
  <c r="F22" i="4"/>
  <c r="H22" i="4" s="1"/>
  <c r="F19" i="4"/>
  <c r="G19" i="4" s="1"/>
  <c r="F18" i="4"/>
  <c r="G18" i="4" s="1"/>
  <c r="G17" i="4"/>
  <c r="E17" i="4"/>
  <c r="H17" i="4" s="1"/>
  <c r="G16" i="4"/>
  <c r="F24" i="3"/>
  <c r="G24" i="3" s="1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M73" i="4" l="1"/>
  <c r="H37" i="4"/>
  <c r="F21" i="4"/>
  <c r="G15" i="4"/>
  <c r="M15" i="4" s="1"/>
  <c r="E68" i="4"/>
  <c r="G22" i="4"/>
  <c r="G21" i="4" s="1"/>
  <c r="F15" i="4"/>
  <c r="F21" i="3"/>
  <c r="H22" i="3"/>
  <c r="G22" i="3"/>
  <c r="G21" i="3" s="1"/>
  <c r="F15" i="3"/>
  <c r="J25" i="1"/>
  <c r="O37" i="1"/>
  <c r="J24" i="1" s="1"/>
  <c r="H44" i="4" l="1"/>
  <c r="H45" i="4" s="1"/>
  <c r="H46" i="4" s="1"/>
  <c r="E69" i="4"/>
  <c r="E70" i="4" s="1"/>
  <c r="E72" i="4" s="1"/>
  <c r="H61" i="3"/>
  <c r="G18" i="3"/>
  <c r="G19" i="3"/>
  <c r="G27" i="3"/>
  <c r="F77" i="4" l="1"/>
  <c r="H77" i="4" s="1"/>
  <c r="F76" i="4"/>
  <c r="H76" i="4" s="1"/>
  <c r="F81" i="4"/>
  <c r="H81" i="4" s="1"/>
  <c r="F75" i="4"/>
  <c r="F80" i="4"/>
  <c r="H80" i="4" s="1"/>
  <c r="F79" i="4"/>
  <c r="H79" i="4" s="1"/>
  <c r="F78" i="4"/>
  <c r="H78" i="4" s="1"/>
  <c r="G15" i="3"/>
  <c r="G65" i="3"/>
  <c r="H84" i="4" l="1"/>
  <c r="H75" i="4"/>
  <c r="C14" i="2"/>
  <c r="C15" i="2" s="1"/>
  <c r="H37" i="3"/>
  <c r="H48" i="3" s="1"/>
  <c r="K63" i="2"/>
  <c r="K40" i="3"/>
  <c r="M77" i="3"/>
  <c r="M76" i="3"/>
  <c r="M75" i="3"/>
  <c r="M74" i="3"/>
  <c r="M73" i="3"/>
  <c r="M72" i="3"/>
  <c r="M71" i="3"/>
  <c r="M70" i="3"/>
  <c r="H83" i="4" l="1"/>
  <c r="H86" i="4" s="1"/>
  <c r="H49" i="3"/>
  <c r="H50" i="3" s="1"/>
  <c r="L63" i="2"/>
  <c r="L64" i="2"/>
  <c r="H65" i="3"/>
  <c r="M78" i="3"/>
  <c r="L65" i="2" l="1"/>
  <c r="K64" i="2" s="1"/>
  <c r="E67" i="3"/>
  <c r="E72" i="3" s="1"/>
  <c r="E73" i="3" s="1"/>
  <c r="E5" i="2"/>
  <c r="E74" i="3" l="1"/>
  <c r="E76" i="3" s="1"/>
  <c r="K25" i="2"/>
  <c r="K44" i="2"/>
  <c r="F79" i="3" l="1"/>
  <c r="H79" i="3" s="1"/>
  <c r="F82" i="3"/>
  <c r="H82" i="3" s="1"/>
  <c r="F85" i="3"/>
  <c r="F83" i="3"/>
  <c r="F80" i="3"/>
  <c r="H80" i="3" s="1"/>
  <c r="F84" i="3"/>
  <c r="H84" i="3" s="1"/>
  <c r="F81" i="3"/>
  <c r="H81" i="3" s="1"/>
  <c r="L45" i="2"/>
  <c r="L44" i="2"/>
  <c r="L26" i="2"/>
  <c r="L25" i="2"/>
  <c r="C16" i="2"/>
  <c r="C18" i="2" s="1"/>
  <c r="H83" i="3" l="1"/>
  <c r="H88" i="3"/>
  <c r="H85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90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4" i="3" l="1"/>
  <c r="H24" i="3" s="1"/>
  <c r="E24" i="4"/>
  <c r="H24" i="4" s="1"/>
  <c r="E16" i="4"/>
  <c r="H16" i="4" s="1"/>
  <c r="E19" i="4"/>
  <c r="H19" i="4" s="1"/>
  <c r="E23" i="4"/>
  <c r="H23" i="4" s="1"/>
  <c r="E18" i="4"/>
  <c r="H18" i="4" s="1"/>
  <c r="H17" i="3"/>
  <c r="E23" i="3"/>
  <c r="H23" i="3" s="1"/>
  <c r="E19" i="3"/>
  <c r="H19" i="3" s="1"/>
  <c r="E18" i="3"/>
  <c r="H18" i="3" s="1"/>
  <c r="F5" i="2"/>
  <c r="G5" i="2" s="1"/>
  <c r="H5" i="2" s="1"/>
  <c r="H21" i="4" l="1"/>
  <c r="H21" i="3"/>
  <c r="H15" i="4"/>
  <c r="H15" i="3"/>
  <c r="H28" i="4" l="1"/>
  <c r="H29" i="4" s="1"/>
  <c r="H30" i="4" s="1"/>
  <c r="H28" i="3"/>
  <c r="H29" i="3" s="1"/>
  <c r="H30" i="3" s="1"/>
  <c r="J24" i="3" s="1"/>
  <c r="M19" i="4" l="1"/>
  <c r="J28" i="4"/>
  <c r="J28" i="3"/>
  <c r="L38" i="3" s="1"/>
  <c r="M19" i="3"/>
  <c r="L37" i="4" l="1"/>
  <c r="L39" i="4"/>
  <c r="K28" i="4"/>
  <c r="L28" i="4" s="1"/>
  <c r="L38" i="4"/>
  <c r="K28" i="3"/>
  <c r="L28" i="3" s="1"/>
  <c r="N28" i="3" s="1"/>
  <c r="M28" i="3" s="1"/>
  <c r="M30" i="3" s="1"/>
  <c r="M32" i="3" s="1"/>
  <c r="L39" i="3"/>
  <c r="L37" i="3"/>
  <c r="N28" i="4" l="1"/>
  <c r="M28" i="4" s="1"/>
  <c r="L40" i="4"/>
  <c r="L40" i="3"/>
  <c r="M30" i="4" l="1"/>
  <c r="M32" i="4" s="1"/>
</calcChain>
</file>

<file path=xl/sharedStrings.xml><?xml version="1.0" encoding="utf-8"?>
<sst xmlns="http://schemas.openxmlformats.org/spreadsheetml/2006/main" count="374" uniqueCount="184">
  <si>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</si>
  <si>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</si>
  <si>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</si>
  <si>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</si>
  <si>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</si>
  <si>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</si>
  <si>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</si>
  <si>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</si>
  <si>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</si>
  <si>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</si>
  <si>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</si>
  <si>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</si>
  <si>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</si>
  <si>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</si>
  <si>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</si>
  <si>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</si>
  <si>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</si>
  <si>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</si>
  <si>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</si>
  <si>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</si>
  <si>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</si>
  <si>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</si>
  <si>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</si>
  <si>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</si>
  <si>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</si>
  <si>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</si>
  <si>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</si>
  <si>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</si>
  <si>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</si>
  <si>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</si>
  <si>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</si>
  <si>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</si>
  <si>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</si>
  <si>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</si>
  <si>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</si>
  <si>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</si>
  <si>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</si>
  <si>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</si>
  <si>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</si>
  <si>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</si>
  <si>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</si>
  <si>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</si>
  <si>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</si>
  <si>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</si>
  <si>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</si>
  <si>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</si>
  <si>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</si>
  <si>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</si>
  <si>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</si>
  <si>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</si>
  <si>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</si>
  <si>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</si>
  <si>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</si>
  <si>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</si>
  <si>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</si>
  <si>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</si>
  <si>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</si>
  <si>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</si>
  <si>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</si>
  <si>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</si>
  <si>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</si>
  <si>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</si>
  <si>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</si>
  <si>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</si>
  <si>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</si>
  <si>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</si>
  <si>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</si>
  <si>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</si>
  <si>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</si>
  <si>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</si>
  <si>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</si>
  <si>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</si>
  <si>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</si>
  <si>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</si>
  <si>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</si>
  <si>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</si>
  <si>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</si>
  <si>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</si>
  <si>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</si>
  <si>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</si>
  <si>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</si>
  <si>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</si>
  <si>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</si>
  <si>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</si>
  <si>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</si>
  <si>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</si>
  <si>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</si>
  <si>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</si>
  <si>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</si>
  <si>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</si>
  <si>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</si>
  <si>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</si>
  <si>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</si>
  <si>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</si>
  <si>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</si>
  <si>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</si>
  <si>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</si>
  <si>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</si>
  <si>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</si>
  <si>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</si>
  <si>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</si>
  <si>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</si>
  <si>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</si>
  <si>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</si>
  <si>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</si>
  <si>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</si>
  <si>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</si>
  <si>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</si>
  <si>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</si>
  <si>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</si>
  <si>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</si>
  <si>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</si>
  <si>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</si>
  <si>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</si>
  <si>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</si>
  <si>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</si>
  <si>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</si>
  <si>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</si>
  <si>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</si>
  <si>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</si>
  <si>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</si>
  <si>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</si>
  <si>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</si>
  <si>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</si>
  <si>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</si>
  <si>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</si>
  <si>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</si>
  <si>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</si>
  <si>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</si>
  <si>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</si>
  <si>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</si>
  <si>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</si>
  <si>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</si>
  <si>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</si>
  <si>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</si>
  <si>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</si>
  <si>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</si>
  <si>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</si>
  <si>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</si>
  <si>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</si>
  <si>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</si>
  <si>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</si>
  <si>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</si>
  <si>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</si>
  <si>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</si>
  <si>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</si>
  <si>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</si>
  <si>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</si>
  <si>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</si>
  <si>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</si>
  <si>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</si>
  <si>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</si>
  <si>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</si>
  <si>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</si>
  <si>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</si>
  <si>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</si>
  <si>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</si>
  <si>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</si>
  <si>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</si>
  <si>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</si>
  <si>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</si>
  <si>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</si>
  <si>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</si>
  <si>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</si>
  <si>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</si>
  <si>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</si>
  <si>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</si>
  <si>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</si>
  <si>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</si>
  <si>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Municipal drawings</t>
  </si>
  <si>
    <t>Measure &amp; draw existing</t>
  </si>
  <si>
    <t>Design Layout</t>
  </si>
  <si>
    <t>Municipal drawings for Additional unit</t>
  </si>
  <si>
    <t>Convert drawings to Existing</t>
  </si>
  <si>
    <t>Design Layout (no 3D)</t>
  </si>
  <si>
    <t>Measure &amp; Draw existing (no 3D)</t>
  </si>
  <si>
    <t>Phase 1 (No 3D):</t>
  </si>
  <si>
    <t>Techical drawings</t>
  </si>
  <si>
    <t>Design 3D</t>
  </si>
  <si>
    <t>Design layout</t>
  </si>
  <si>
    <t>Admin (back and forth)</t>
  </si>
  <si>
    <t>Admin (Submission)</t>
  </si>
  <si>
    <t>Design layout+ 3D</t>
  </si>
  <si>
    <t>Technical drawings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</si>
</sst>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9" fontId="22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197FD07-8F31-444C-9A6C-AFB63EBD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abSelected="1" topLeftCell="A10" workbookViewId="0">
      <selection activeCell="C13" sqref="C13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24"/>
      <c r="B1" s="324"/>
      <c r="C1" s="324"/>
      <c r="D1" s="324"/>
      <c r="E1" s="324"/>
      <c r="F1" s="324"/>
      <c r="G1" s="324"/>
      <c r="H1" s="324"/>
      <c r="I1" s="324"/>
      <c r="J1" s="324"/>
    </row>
    <row r="2" spans="1:1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1" x14ac:dyDescent="0.3">
      <c r="A3" s="324"/>
      <c r="B3" s="324"/>
      <c r="C3" s="324"/>
      <c r="D3" s="324"/>
      <c r="E3" s="324"/>
      <c r="F3" s="324"/>
      <c r="G3" s="324"/>
      <c r="H3" s="324"/>
      <c r="I3" s="324"/>
      <c r="J3" s="324"/>
    </row>
    <row r="4" spans="1:11" x14ac:dyDescent="0.3">
      <c r="A4" s="324"/>
      <c r="B4" s="324"/>
      <c r="C4" s="324"/>
      <c r="D4" s="324"/>
      <c r="E4" s="324"/>
      <c r="F4" s="324"/>
      <c r="G4" s="324"/>
      <c r="H4" s="324"/>
      <c r="I4" s="324"/>
      <c r="J4" s="324"/>
    </row>
    <row r="5" spans="1:11" x14ac:dyDescent="0.3">
      <c r="A5" s="324"/>
      <c r="B5" s="324"/>
      <c r="C5" s="324"/>
      <c r="D5" s="324"/>
      <c r="E5" s="324"/>
      <c r="F5" s="324"/>
      <c r="G5" s="324"/>
      <c r="H5" s="324"/>
      <c r="I5" s="324"/>
      <c r="J5" s="324"/>
    </row>
    <row r="6" spans="1:11" x14ac:dyDescent="0.3">
      <c r="A6" s="324"/>
      <c r="B6" s="324"/>
      <c r="C6" s="324"/>
      <c r="D6" s="324"/>
      <c r="E6" s="324"/>
      <c r="F6" s="324"/>
      <c r="G6" s="324"/>
      <c r="H6" s="324"/>
      <c r="I6" s="324"/>
      <c r="J6" s="324"/>
    </row>
    <row r="7" spans="1:11" x14ac:dyDescent="0.3">
      <c r="A7" s="324"/>
      <c r="B7" s="324"/>
      <c r="C7" s="324"/>
      <c r="D7" s="324"/>
      <c r="E7" s="324"/>
      <c r="F7" s="324"/>
      <c r="G7" s="324"/>
      <c r="H7" s="324"/>
      <c r="I7" s="324"/>
      <c r="J7" s="324"/>
    </row>
    <row r="8" spans="1:11" x14ac:dyDescent="0.3">
      <c r="A8" s="324"/>
      <c r="B8" s="324"/>
      <c r="C8" s="324"/>
      <c r="D8" s="324"/>
      <c r="E8" s="324"/>
      <c r="F8" s="324"/>
      <c r="G8" s="324"/>
      <c r="H8" s="324"/>
      <c r="I8" s="324"/>
      <c r="J8" s="324"/>
    </row>
    <row r="9" spans="1:11" x14ac:dyDescent="0.3">
      <c r="A9" s="324"/>
      <c r="B9" s="324"/>
      <c r="C9" s="324"/>
      <c r="D9" s="324"/>
      <c r="E9" s="324"/>
      <c r="F9" s="324"/>
      <c r="G9" s="324"/>
      <c r="H9" s="324"/>
      <c r="I9" s="324"/>
      <c r="J9" s="324"/>
    </row>
    <row r="10" spans="1:11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324"/>
    </row>
    <row r="11" spans="1:11" ht="21" thickBot="1" x14ac:dyDescent="0.35">
      <c r="A11" s="308" t="s">
        <v>5</v>
      </c>
      <c r="B11" s="309"/>
      <c r="C11" s="309"/>
      <c r="D11" s="309"/>
      <c r="E11" s="309"/>
      <c r="F11" s="309"/>
      <c r="G11" s="309"/>
      <c r="H11" s="309"/>
      <c r="I11" s="309"/>
      <c r="J11" s="309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327" t="s">
        <v>9</v>
      </c>
      <c r="F12" s="331"/>
      <c r="G12" s="328"/>
      <c r="H12" s="327" t="s">
        <v>4</v>
      </c>
      <c r="I12" s="328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329">
        <v>0.1</v>
      </c>
      <c r="F13" s="329"/>
      <c r="G13" s="220">
        <f>D13*E13</f>
        <v>4000</v>
      </c>
      <c r="H13" s="326">
        <f>D13+G13</f>
        <v>44000</v>
      </c>
      <c r="I13" s="326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330">
        <v>0.1</v>
      </c>
      <c r="F14" s="330"/>
      <c r="G14" s="220">
        <f>D14*E14</f>
        <v>2400</v>
      </c>
      <c r="H14" s="325">
        <f>D14+G14</f>
        <v>26400</v>
      </c>
      <c r="I14" s="325"/>
      <c r="J14" s="111">
        <v>1</v>
      </c>
    </row>
    <row r="15" spans="1:11" x14ac:dyDescent="0.3">
      <c r="A15" s="218"/>
      <c r="B15" s="111"/>
      <c r="C15" s="111"/>
      <c r="D15" s="219"/>
      <c r="E15" s="317"/>
      <c r="F15" s="317"/>
      <c r="G15" s="220"/>
      <c r="H15" s="325"/>
      <c r="I15" s="325"/>
      <c r="J15" s="111"/>
    </row>
    <row r="16" spans="1:11" x14ac:dyDescent="0.3">
      <c r="A16" s="4"/>
      <c r="E16" s="319"/>
      <c r="F16" s="319"/>
      <c r="H16" s="319"/>
      <c r="I16" s="319"/>
      <c r="K16"/>
    </row>
    <row r="17" spans="1:15" ht="21" thickBot="1" x14ac:dyDescent="0.35">
      <c r="A17" s="310" t="s">
        <v>6</v>
      </c>
      <c r="B17" s="310"/>
      <c r="C17" s="310"/>
      <c r="D17" s="310"/>
      <c r="E17" s="310"/>
      <c r="F17" s="310"/>
      <c r="G17" s="310"/>
      <c r="H17" s="310"/>
      <c r="I17" s="310"/>
      <c r="J17" s="310"/>
      <c r="K17"/>
    </row>
    <row r="18" spans="1:15" ht="18" thickBot="1" x14ac:dyDescent="0.35">
      <c r="A18" s="221" t="s">
        <v>88</v>
      </c>
      <c r="B18" s="225" t="s">
        <v>7</v>
      </c>
      <c r="C18" s="311" t="s">
        <v>10</v>
      </c>
      <c r="D18" s="312"/>
      <c r="E18" s="322" t="s">
        <v>8</v>
      </c>
      <c r="F18" s="323"/>
      <c r="G18" s="314" t="s">
        <v>11</v>
      </c>
      <c r="H18" s="315"/>
      <c r="I18" s="315"/>
      <c r="J18" s="315"/>
      <c r="K18"/>
    </row>
    <row r="19" spans="1:15" x14ac:dyDescent="0.3">
      <c r="A19" s="218">
        <v>1</v>
      </c>
      <c r="B19" s="227">
        <v>21</v>
      </c>
      <c r="C19" s="313">
        <f>D45</f>
        <v>6240.323166666667</v>
      </c>
      <c r="D19" s="313"/>
      <c r="E19" s="320">
        <v>8</v>
      </c>
      <c r="F19" s="320"/>
      <c r="G19" s="316">
        <f>ROUNDUP(C19/E19,-0.1)</f>
        <v>781</v>
      </c>
      <c r="H19" s="316"/>
      <c r="I19" s="316"/>
      <c r="J19" s="316"/>
      <c r="K19" s="111"/>
    </row>
    <row r="20" spans="1:15" x14ac:dyDescent="0.3">
      <c r="A20" s="218">
        <v>2</v>
      </c>
      <c r="B20" s="227">
        <v>21</v>
      </c>
      <c r="C20" s="317">
        <f ca="1">J45</f>
        <v>5167.8</v>
      </c>
      <c r="D20" s="317"/>
      <c r="E20" s="321">
        <v>8</v>
      </c>
      <c r="F20" s="321"/>
      <c r="G20" s="318">
        <f ca="1">ROUNDUP(C20/E20,-1)</f>
        <v>650</v>
      </c>
      <c r="H20" s="318"/>
      <c r="I20" s="318"/>
      <c r="J20" s="318"/>
      <c r="K20" s="111"/>
    </row>
    <row r="21" spans="1:15" x14ac:dyDescent="0.3">
      <c r="A21" s="4"/>
      <c r="E21" s="319"/>
      <c r="F21" s="319"/>
      <c r="K21"/>
    </row>
    <row r="22" spans="1:15" ht="21" thickBot="1" x14ac:dyDescent="0.35">
      <c r="A22" s="308" t="s">
        <v>133</v>
      </c>
      <c r="B22" s="309"/>
      <c r="C22" s="309"/>
      <c r="D22" s="309"/>
      <c r="E22" s="309"/>
      <c r="F22" s="309"/>
      <c r="G22" s="309"/>
      <c r="H22" s="309"/>
      <c r="I22" s="309"/>
      <c r="J22" s="309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9"/>
  <sheetViews>
    <sheetView topLeftCell="A28" zoomScaleNormal="100" workbookViewId="0">
      <selection activeCell="E40" sqref="E4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287" t="s">
        <v>12</v>
      </c>
      <c r="B11" s="288"/>
      <c r="C11" s="288"/>
      <c r="D11" s="288"/>
      <c r="E11" s="288"/>
      <c r="F11" s="288"/>
      <c r="G11" s="288"/>
      <c r="H11" s="28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0" t="s">
        <v>63</v>
      </c>
      <c r="B13" s="291"/>
      <c r="C13" s="29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3" t="s">
        <v>59</v>
      </c>
      <c r="B14" s="294"/>
      <c r="C14" s="29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95" t="s">
        <v>76</v>
      </c>
      <c r="B15" s="296"/>
      <c r="C15" s="71"/>
      <c r="D15" s="71"/>
      <c r="E15" s="71"/>
      <c r="F15" s="74">
        <f>SUM(F16:F19)</f>
        <v>84</v>
      </c>
      <c r="G15" s="215">
        <f>SUM(G16:G19)</f>
        <v>10.5</v>
      </c>
      <c r="H15" s="184">
        <f ca="1">SUM(H16:H19)</f>
        <v>65080</v>
      </c>
      <c r="I15" s="1"/>
      <c r="J15" s="280" t="s">
        <v>71</v>
      </c>
      <c r="K15" s="281"/>
      <c r="L15" s="282"/>
      <c r="M15" s="150">
        <f>G15</f>
        <v>10.5</v>
      </c>
    </row>
    <row r="16" spans="1:13" ht="17.25" x14ac:dyDescent="0.3">
      <c r="A16" s="180"/>
      <c r="B16" s="286"/>
      <c r="C16" s="286"/>
      <c r="D16" s="60"/>
      <c r="E16" s="60"/>
      <c r="F16" s="3"/>
      <c r="G16" s="181"/>
      <c r="H16" s="182"/>
      <c r="I16" s="1"/>
      <c r="M16" s="3"/>
    </row>
    <row r="17" spans="1:14" ht="17.25" x14ac:dyDescent="0.3">
      <c r="A17" s="274" t="s">
        <v>179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8*5</f>
        <v>40</v>
      </c>
      <c r="G17" s="181">
        <f>IF(F17="","",F17/8)</f>
        <v>5</v>
      </c>
      <c r="H17" s="182">
        <f>IF(E17="","",F17*E17)</f>
        <v>31240</v>
      </c>
      <c r="I17" s="1"/>
      <c r="M17" s="3"/>
    </row>
    <row r="18" spans="1:14" ht="18" thickBot="1" x14ac:dyDescent="0.35">
      <c r="A18" s="274" t="s">
        <v>178</v>
      </c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f>8*5</f>
        <v>40</v>
      </c>
      <c r="G18" s="181">
        <f>IF(F18="","",F18/8)</f>
        <v>5</v>
      </c>
      <c r="H18" s="182">
        <f>IF(E18="","",F18*E18)</f>
        <v>31240</v>
      </c>
      <c r="I18" s="1"/>
      <c r="M18" s="3"/>
    </row>
    <row r="19" spans="1:14" ht="18" thickBot="1" x14ac:dyDescent="0.35">
      <c r="A19" s="180" t="s">
        <v>180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283" t="s">
        <v>74</v>
      </c>
      <c r="K19" s="284"/>
      <c r="L19" s="285"/>
      <c r="M19" s="103">
        <f ca="1">H30/M15</f>
        <v>15371.428571428571</v>
      </c>
    </row>
    <row r="20" spans="1:14" ht="18" thickBot="1" x14ac:dyDescent="0.35">
      <c r="I20" s="1"/>
      <c r="M20" s="94"/>
    </row>
    <row r="21" spans="1:14" ht="18" thickBot="1" x14ac:dyDescent="0.35">
      <c r="A21" s="295" t="s">
        <v>168</v>
      </c>
      <c r="B21" s="296"/>
      <c r="C21" s="71"/>
      <c r="D21" s="71"/>
      <c r="E21" s="71"/>
      <c r="F21" s="74">
        <f>SUM(F22:F25)</f>
        <v>124</v>
      </c>
      <c r="G21" s="215">
        <f>SUM(G22:G25)</f>
        <v>15.5</v>
      </c>
      <c r="H21" s="184">
        <f ca="1">SUM(H22:H25)</f>
        <v>96320</v>
      </c>
      <c r="I21" s="1"/>
      <c r="M21" s="94"/>
    </row>
    <row r="22" spans="1:14" ht="17.25" x14ac:dyDescent="0.3">
      <c r="A22" s="274" t="s">
        <v>169</v>
      </c>
      <c r="B22" s="1"/>
      <c r="C22" s="1"/>
      <c r="D22" s="60" t="s">
        <v>73</v>
      </c>
      <c r="E22" s="60">
        <f>IF(D22="Dewald", Employees!$G$19,IF(D22="Hannes",Employees!$G$19,IF(D22="Johan",Employees!$G$20,"")))</f>
        <v>781</v>
      </c>
      <c r="F22" s="3">
        <f>8*12</f>
        <v>96</v>
      </c>
      <c r="G22" s="181">
        <f>IF(F22="","",F22/8)</f>
        <v>12</v>
      </c>
      <c r="H22" s="182">
        <f>IF(E22="","",F22*E22)</f>
        <v>74976</v>
      </c>
      <c r="I22" s="1"/>
      <c r="M22" s="94"/>
    </row>
    <row r="23" spans="1:14" ht="17.25" x14ac:dyDescent="0.3">
      <c r="A23" s="274" t="s">
        <v>177</v>
      </c>
      <c r="B23" s="1"/>
      <c r="C23" s="1"/>
      <c r="D23" s="60" t="s">
        <v>73</v>
      </c>
      <c r="E23" s="60">
        <f>IF(D23="Dewald", Employees!$G$19,IF(D23="Hannes",Employees!$G$19,IF(D23="Johan",Employees!$G$20,"")))</f>
        <v>781</v>
      </c>
      <c r="F23" s="3">
        <f>8*3</f>
        <v>24</v>
      </c>
      <c r="G23" s="181">
        <f>IF(F23="","",F23/8)</f>
        <v>3</v>
      </c>
      <c r="H23" s="182">
        <f>IF(E23="","",F23*E23)</f>
        <v>18744</v>
      </c>
      <c r="I23" s="1"/>
      <c r="M23" s="94"/>
    </row>
    <row r="24" spans="1:14" ht="17.25" x14ac:dyDescent="0.3">
      <c r="A24" s="180" t="s">
        <v>181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J24" s="157">
        <f ca="1">H30/(SUM(G15+G21))</f>
        <v>6207.6923076923076</v>
      </c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0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161400</v>
      </c>
      <c r="I28" s="1"/>
      <c r="J28" s="104">
        <f ca="1">H30</f>
        <v>161400</v>
      </c>
      <c r="K28" s="60">
        <f ca="1">J28*0.05</f>
        <v>8070</v>
      </c>
      <c r="L28" s="60">
        <f ca="1">J28-K28</f>
        <v>153330</v>
      </c>
      <c r="M28" s="104">
        <f ca="1">L28-N28</f>
        <v>89442.5</v>
      </c>
      <c r="N28" s="106">
        <f ca="1">L28/2.4</f>
        <v>63887.5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161400</v>
      </c>
      <c r="I30" s="1"/>
      <c r="J30" s="97" t="s">
        <v>80</v>
      </c>
      <c r="K30" s="92"/>
      <c r="L30" s="92"/>
      <c r="M30" s="105">
        <f ca="1">M28*0.15</f>
        <v>13416.375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76026.125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SUM(H38:H45)</f>
        <v>160100</v>
      </c>
      <c r="I37" s="1"/>
      <c r="J37" s="160" t="s">
        <v>105</v>
      </c>
      <c r="K37" s="161">
        <v>0.6</v>
      </c>
      <c r="L37" s="162">
        <f ca="1">J28*K37</f>
        <v>96840</v>
      </c>
    </row>
    <row r="38" spans="1:13" ht="17.25" x14ac:dyDescent="0.3">
      <c r="A38" s="273"/>
      <c r="D38" s="60"/>
      <c r="E38" s="5"/>
      <c r="F38" s="1"/>
      <c r="H38" s="270"/>
      <c r="I38" s="1"/>
      <c r="J38" s="160" t="s">
        <v>106</v>
      </c>
      <c r="K38" s="161">
        <v>0.32</v>
      </c>
      <c r="L38" s="162">
        <f ca="1">J28*K38</f>
        <v>51648</v>
      </c>
    </row>
    <row r="39" spans="1:13" ht="18" thickBot="1" x14ac:dyDescent="0.35">
      <c r="A39" s="274" t="s">
        <v>182</v>
      </c>
      <c r="B39" s="180"/>
      <c r="C39" s="1"/>
      <c r="D39" s="60" t="s">
        <v>73</v>
      </c>
      <c r="E39" s="5">
        <v>200</v>
      </c>
      <c r="F39" s="1">
        <v>450</v>
      </c>
      <c r="G39" s="70"/>
      <c r="H39" s="271">
        <f>F39*E39</f>
        <v>90000</v>
      </c>
      <c r="J39" s="163" t="s">
        <v>107</v>
      </c>
      <c r="K39" s="164">
        <v>0.08</v>
      </c>
      <c r="L39" s="165">
        <f ca="1">J28*K39</f>
        <v>12912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100</v>
      </c>
      <c r="F40" s="1">
        <v>450</v>
      </c>
      <c r="H40" s="271">
        <f t="shared" ref="H40:H41" si="1">F40*E40</f>
        <v>45000</v>
      </c>
      <c r="J40" s="166" t="s">
        <v>3</v>
      </c>
      <c r="K40" s="167">
        <f>SUM(K37:K39)</f>
        <v>0.99999999999999989</v>
      </c>
      <c r="L40" s="158">
        <f ca="1">SUM(L37:L39)</f>
        <v>161400</v>
      </c>
      <c r="M40" s="1"/>
    </row>
    <row r="41" spans="1:13" ht="17.25" x14ac:dyDescent="0.3">
      <c r="A41" s="274" t="s">
        <v>183</v>
      </c>
      <c r="D41" s="60" t="s">
        <v>73</v>
      </c>
      <c r="E41" s="5">
        <v>50</v>
      </c>
      <c r="F41" s="1">
        <v>450</v>
      </c>
      <c r="H41" s="271">
        <f t="shared" si="1"/>
        <v>22500</v>
      </c>
      <c r="J41" s="338"/>
      <c r="K41" s="339"/>
      <c r="L41" s="340"/>
      <c r="M41" s="1"/>
    </row>
    <row r="42" spans="1:13" ht="17.25" x14ac:dyDescent="0.3">
      <c r="A42" s="274" t="s">
        <v>181</v>
      </c>
      <c r="D42" s="60" t="s">
        <v>73</v>
      </c>
      <c r="E42" s="5"/>
      <c r="F42" s="1"/>
      <c r="H42" s="271">
        <v>2600</v>
      </c>
      <c r="J42" s="338"/>
      <c r="K42" s="339"/>
      <c r="L42" s="340"/>
      <c r="M42" s="1"/>
    </row>
    <row r="43" spans="1:13" ht="17.25" x14ac:dyDescent="0.3">
      <c r="A43" s="274"/>
      <c r="D43" s="60"/>
      <c r="E43" s="5"/>
      <c r="F43" s="1"/>
      <c r="H43" s="271"/>
      <c r="J43" s="338"/>
      <c r="K43" s="339"/>
      <c r="L43" s="340"/>
      <c r="M43" s="1"/>
    </row>
    <row r="44" spans="1:13" ht="17.25" x14ac:dyDescent="0.3">
      <c r="A44" s="274"/>
      <c r="D44" s="60"/>
      <c r="E44" s="5"/>
      <c r="F44" s="1"/>
      <c r="H44" s="271"/>
      <c r="J44" s="338"/>
      <c r="K44" s="339"/>
      <c r="L44" s="340"/>
      <c r="M44" s="1"/>
    </row>
    <row r="45" spans="1:13" ht="17.25" x14ac:dyDescent="0.3">
      <c r="A45" s="275"/>
      <c r="B45" s="266"/>
      <c r="C45" s="178"/>
      <c r="D45" s="267"/>
      <c r="E45" s="268"/>
      <c r="F45" s="178"/>
      <c r="G45" s="269"/>
      <c r="H45" s="272"/>
      <c r="M45" s="1"/>
    </row>
    <row r="46" spans="1:13" ht="17.25" x14ac:dyDescent="0.3">
      <c r="M46" s="1"/>
    </row>
    <row r="47" spans="1:13" ht="17.25" x14ac:dyDescent="0.3">
      <c r="J47" s="157"/>
      <c r="M47" s="1"/>
    </row>
    <row r="48" spans="1:13" ht="18" x14ac:dyDescent="0.3">
      <c r="A48" s="73"/>
      <c r="C48" s="73"/>
      <c r="D48" s="73"/>
      <c r="E48" s="262"/>
      <c r="F48" s="263" t="s">
        <v>113</v>
      </c>
      <c r="G48" s="264"/>
      <c r="H48" s="279">
        <f>H37</f>
        <v>160100</v>
      </c>
      <c r="J48" s="157"/>
      <c r="M48" s="1"/>
    </row>
    <row r="49" spans="1:13" ht="18.75" thickBot="1" x14ac:dyDescent="0.35">
      <c r="A49" s="73"/>
      <c r="B49" s="73"/>
      <c r="C49" s="73"/>
      <c r="E49" s="131"/>
      <c r="F49" s="277" t="s">
        <v>75</v>
      </c>
      <c r="G49" s="276">
        <v>0</v>
      </c>
      <c r="H49" s="247">
        <f>H48*G49</f>
        <v>0</v>
      </c>
      <c r="L49" s="1"/>
      <c r="M49" s="91"/>
    </row>
    <row r="50" spans="1:13" ht="19.5" thickBot="1" x14ac:dyDescent="0.35">
      <c r="A50" s="1"/>
      <c r="B50" s="1"/>
      <c r="C50" s="1"/>
      <c r="D50" s="1"/>
      <c r="E50" s="1"/>
      <c r="F50" s="132" t="s">
        <v>67</v>
      </c>
      <c r="G50" s="133"/>
      <c r="H50" s="183">
        <f>(H48-H49)</f>
        <v>160100</v>
      </c>
      <c r="L50" s="1"/>
      <c r="M50" s="91"/>
    </row>
    <row r="51" spans="1:13" ht="18.75" x14ac:dyDescent="0.3">
      <c r="A51" s="1"/>
      <c r="B51" s="1"/>
      <c r="C51" s="1"/>
      <c r="D51" s="1"/>
      <c r="E51" s="1"/>
      <c r="F51" s="132"/>
      <c r="G51" s="132"/>
      <c r="J51" s="157"/>
      <c r="L51" s="1"/>
      <c r="M51" s="91"/>
    </row>
    <row r="52" spans="1:13" ht="18.75" x14ac:dyDescent="0.3">
      <c r="A52" s="1"/>
      <c r="B52" s="1"/>
      <c r="C52" s="1"/>
      <c r="D52" s="1"/>
      <c r="E52" s="1"/>
      <c r="F52" s="132"/>
      <c r="G52" s="132"/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132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L54" s="1"/>
      <c r="M54" s="91"/>
    </row>
    <row r="55" spans="1:13" ht="17.25" x14ac:dyDescent="0.3">
      <c r="A55" s="1"/>
      <c r="B55" s="1"/>
      <c r="C55" s="1"/>
      <c r="D55" s="1"/>
      <c r="E55" s="1"/>
      <c r="F55" s="1"/>
      <c r="G55" s="1"/>
      <c r="H55" s="1"/>
      <c r="L55" s="1"/>
      <c r="M55" s="91"/>
    </row>
    <row r="56" spans="1:13" ht="17.25" x14ac:dyDescent="0.3">
      <c r="A56" s="76"/>
      <c r="B56" s="76"/>
      <c r="C56" s="76"/>
      <c r="D56" s="76"/>
      <c r="E56" s="76"/>
      <c r="F56" s="76"/>
      <c r="G56" s="76"/>
      <c r="H56" s="76"/>
      <c r="L56" s="1"/>
      <c r="M56" s="91"/>
    </row>
    <row r="57" spans="1:13" ht="18" thickBot="1" x14ac:dyDescent="0.35">
      <c r="L57" s="1"/>
      <c r="M57" s="91"/>
    </row>
    <row r="58" spans="1:13" ht="19.5" thickBot="1" x14ac:dyDescent="0.35">
      <c r="A58" s="192" t="s">
        <v>65</v>
      </c>
      <c r="B58" s="193"/>
      <c r="C58" s="194"/>
      <c r="D58" s="1"/>
      <c r="E58" s="1"/>
      <c r="F58" s="1"/>
      <c r="G58" s="1"/>
      <c r="H58" s="1"/>
      <c r="L58" s="1"/>
      <c r="M58" s="91"/>
    </row>
    <row r="59" spans="1:13" ht="18" thickBot="1" x14ac:dyDescent="0.35">
      <c r="A59" s="128" t="s">
        <v>13</v>
      </c>
      <c r="B59" s="119"/>
      <c r="C59" s="119"/>
      <c r="D59" s="188"/>
      <c r="E59" s="189"/>
      <c r="F59" s="119" t="s">
        <v>68</v>
      </c>
      <c r="G59" s="189" t="s">
        <v>14</v>
      </c>
      <c r="H59" s="190" t="s">
        <v>87</v>
      </c>
      <c r="L59" s="1"/>
      <c r="M59" s="91"/>
    </row>
    <row r="60" spans="1:13" ht="17.25" x14ac:dyDescent="0.3">
      <c r="A60" s="14"/>
      <c r="B60" s="14"/>
      <c r="C60" s="14"/>
      <c r="D60" s="14"/>
      <c r="E60" s="149"/>
      <c r="F60" s="149"/>
      <c r="G60" s="122"/>
      <c r="H60" s="149"/>
      <c r="L60" s="1"/>
      <c r="M60" s="91"/>
    </row>
    <row r="61" spans="1:13" ht="17.25" x14ac:dyDescent="0.3">
      <c r="A61" s="1" t="s">
        <v>129</v>
      </c>
      <c r="B61" s="61"/>
      <c r="C61" s="4"/>
      <c r="D61" s="1"/>
      <c r="E61" s="60"/>
      <c r="F61" s="60">
        <v>12000</v>
      </c>
      <c r="G61" s="3">
        <v>450</v>
      </c>
      <c r="H61" s="60">
        <f>G61*F61</f>
        <v>5400000</v>
      </c>
      <c r="L61" s="1"/>
      <c r="M61" s="91"/>
    </row>
    <row r="62" spans="1:13" ht="17.25" x14ac:dyDescent="0.3">
      <c r="A62" s="1"/>
      <c r="B62" s="61"/>
      <c r="F62" s="60"/>
      <c r="G62" s="3"/>
      <c r="H62" s="60"/>
      <c r="L62" s="1"/>
      <c r="M62" s="91"/>
    </row>
    <row r="63" spans="1:13" ht="17.25" x14ac:dyDescent="0.3">
      <c r="A63" s="1"/>
      <c r="L63" s="1"/>
      <c r="M63" s="91"/>
    </row>
    <row r="64" spans="1:13" ht="18" thickBot="1" x14ac:dyDescent="0.35">
      <c r="A64" s="1"/>
      <c r="B64" s="1"/>
      <c r="C64" s="1"/>
      <c r="D64" s="1" t="s">
        <v>128</v>
      </c>
      <c r="E64" s="60"/>
      <c r="F64" s="60"/>
      <c r="G64" s="3"/>
      <c r="H64" s="60"/>
      <c r="L64" s="1"/>
      <c r="M64" s="91"/>
    </row>
    <row r="65" spans="1:13" ht="18" thickBot="1" x14ac:dyDescent="0.35">
      <c r="A65" s="1"/>
      <c r="B65" s="1"/>
      <c r="C65" s="1"/>
      <c r="D65" s="1"/>
      <c r="E65" s="118"/>
      <c r="F65" s="62" t="s">
        <v>3</v>
      </c>
      <c r="G65" s="63">
        <f>SUM(G60:G63)</f>
        <v>450</v>
      </c>
      <c r="H65" s="95">
        <f>SUM(H60:H64)</f>
        <v>5400000</v>
      </c>
      <c r="L65" s="1"/>
      <c r="M65" s="91"/>
    </row>
    <row r="66" spans="1:13" ht="15.75" thickBot="1" x14ac:dyDescent="0.3"/>
    <row r="67" spans="1:13" ht="19.5" thickBot="1" x14ac:dyDescent="0.35">
      <c r="A67" s="202" t="s">
        <v>35</v>
      </c>
      <c r="B67" s="197"/>
      <c r="C67" s="197"/>
      <c r="D67" s="197"/>
      <c r="E67" s="301">
        <f>H65</f>
        <v>5400000</v>
      </c>
      <c r="F67" s="302"/>
      <c r="G67" s="302"/>
      <c r="H67" s="303"/>
      <c r="J67" s="5"/>
      <c r="K67" s="5"/>
      <c r="M67" s="1"/>
    </row>
    <row r="68" spans="1:13" ht="18.75" x14ac:dyDescent="0.3">
      <c r="A68" s="199" t="s">
        <v>84</v>
      </c>
      <c r="B68" s="198"/>
      <c r="C68" s="198"/>
      <c r="D68" s="198"/>
      <c r="E68" s="304" t="s">
        <v>118</v>
      </c>
      <c r="F68" s="304"/>
      <c r="G68" s="304"/>
      <c r="H68" s="304"/>
      <c r="L68" s="1"/>
      <c r="M68" s="1"/>
    </row>
    <row r="69" spans="1:13" ht="15.75" thickBot="1" x14ac:dyDescent="0.3">
      <c r="J69" t="s">
        <v>101</v>
      </c>
      <c r="K69" t="s">
        <v>102</v>
      </c>
      <c r="L69" t="s">
        <v>103</v>
      </c>
      <c r="M69" t="s">
        <v>104</v>
      </c>
    </row>
    <row r="70" spans="1:13" ht="20.25" thickBot="1" x14ac:dyDescent="0.3">
      <c r="A70" s="201" t="s">
        <v>44</v>
      </c>
      <c r="B70" s="59"/>
      <c r="C70" s="59"/>
      <c r="D70" s="59"/>
      <c r="E70" s="59"/>
      <c r="F70" s="59"/>
      <c r="G70" s="59"/>
      <c r="H70" s="127"/>
      <c r="J70" s="151" t="s">
        <v>93</v>
      </c>
      <c r="K70" s="156">
        <v>20000</v>
      </c>
      <c r="L70" s="90">
        <v>1</v>
      </c>
      <c r="M70" s="153">
        <f t="shared" ref="M70:M77" si="2">K70*L70</f>
        <v>20000</v>
      </c>
    </row>
    <row r="71" spans="1:13" x14ac:dyDescent="0.25">
      <c r="J71" s="116" t="s">
        <v>94</v>
      </c>
      <c r="K71" s="157">
        <v>3000</v>
      </c>
      <c r="L71">
        <v>4</v>
      </c>
      <c r="M71" s="154">
        <f t="shared" si="2"/>
        <v>12000</v>
      </c>
    </row>
    <row r="72" spans="1:13" ht="17.25" x14ac:dyDescent="0.25">
      <c r="A72" s="124" t="s">
        <v>21</v>
      </c>
      <c r="B72" s="125"/>
      <c r="C72" s="125"/>
      <c r="D72" s="126"/>
      <c r="E72" s="204">
        <f>IF($E$68="Medium",IF($E$67&gt;Data!D48,IF($E$67&gt;Data!D49,IF($E$67&gt;Data!D50,IF($E$67&gt;Data!D51,IF($E$67&gt;Data!D52,IF($E$67&gt;Data!D53,IF($E$67&gt;Data!D54,IF($E$67&gt;Data!D55,IF($E$67&gt;Data!D56,IF($E$67&gt;Data!D57,IF($E$67&gt;Data!D58,Data!E59,Data!E58),Data!E57),Data!E56),Data!E55),Data!E54),Data!E53),Data!E52),Data!E51),Data!E50),Data!E49),Data!E48),IF($E$68="High",(IF($E$67&gt;Data!D29,IF($E$67&gt;Data!D30,IF($E$67&gt;Data!D31,IF($E$67&gt;Data!D32,IF($E$67&gt;Data!D33,IF($E$67&gt;Data!D34,IF($E$67&gt;Data!D35,IF($E$67&gt;Data!D36,IF($E$67&gt;Data!D37,IF($E$67&gt;Data!D38,IF($E$67&gt;Data!D39,Data!E40,Data!E39),Data!E37),Data!E36),Data!E35),Data!E34),Data!E33),Data!E52),Data!E32),Data!E31),Data!E30),Data!E29)),IF($E$68="Low",(IF($E$67&gt;Data!D67,IF($E$67&gt;Data!D68,IF($E$67&gt;Data!D69,IF($E$67&gt;Data!D70,IF($E$67&gt;Data!D71,IF($E$67&gt;Data!D72,IF($E$67&gt;Data!D73,IF($E$67&gt;Data!D74,IF($E$67&gt;Data!D75,IF($E$67&gt;Data!D76,IF($E$67&gt;Data!D77,Data!E78,Data!E77),Data!E76),Data!E75),Data!E74),Data!E73),Data!E72),Data!E71),Data!E70),Data!E69),Data!E68),Data!E67)))))</f>
        <v>606078.35</v>
      </c>
      <c r="F72" s="129"/>
      <c r="G72" s="129"/>
      <c r="H72" s="130"/>
      <c r="J72" s="116" t="s">
        <v>95</v>
      </c>
      <c r="K72" s="157">
        <v>5000</v>
      </c>
      <c r="L72">
        <v>2</v>
      </c>
      <c r="M72" s="154">
        <f t="shared" si="2"/>
        <v>10000</v>
      </c>
    </row>
    <row r="73" spans="1:13" ht="17.25" x14ac:dyDescent="0.25">
      <c r="A73" s="134" t="s">
        <v>49</v>
      </c>
      <c r="B73" s="61"/>
      <c r="C73" s="61"/>
      <c r="D73" s="135"/>
      <c r="E73" s="205">
        <f>IF($E$68="Medium",($E$67-(VLOOKUP($E$72,Data!E48:G59,3,FALSE)))*(VLOOKUP($E$72,Data!E48:G59,2,FALSE)),IF($E$68="High",($E$67-(VLOOKUP($E$72,Data!E29:G40,3,FALSE)))*(VLOOKUP($E$72,Data!E29:G40,2,FALSE)),IF($E$68="Low",($E$67-(VLOOKUP($E$72,Data!E66:G78,3,FALSE)))*(VLOOKUP($E$72,Data!E66:G78,2,FALSE)))))</f>
        <v>176679.8738</v>
      </c>
      <c r="F73" s="77"/>
      <c r="G73" s="77"/>
      <c r="H73" s="139"/>
      <c r="J73" s="116" t="s">
        <v>96</v>
      </c>
      <c r="K73" s="157">
        <v>8000</v>
      </c>
      <c r="L73">
        <v>1</v>
      </c>
      <c r="M73" s="154">
        <f t="shared" si="2"/>
        <v>8000</v>
      </c>
    </row>
    <row r="74" spans="1:13" ht="17.25" x14ac:dyDescent="0.25">
      <c r="A74" s="134"/>
      <c r="B74" s="61"/>
      <c r="C74" s="61"/>
      <c r="D74" s="135"/>
      <c r="E74" s="205">
        <f>E72+E73</f>
        <v>782758.22380000004</v>
      </c>
      <c r="F74" s="77"/>
      <c r="G74" s="77"/>
      <c r="H74" s="139"/>
      <c r="J74" s="116" t="s">
        <v>100</v>
      </c>
      <c r="K74" s="157">
        <v>5000</v>
      </c>
      <c r="L74">
        <v>1</v>
      </c>
      <c r="M74" s="154">
        <f t="shared" si="2"/>
        <v>5000</v>
      </c>
    </row>
    <row r="75" spans="1:13" ht="17.25" x14ac:dyDescent="0.25">
      <c r="A75" s="134" t="s">
        <v>52</v>
      </c>
      <c r="B75" s="61"/>
      <c r="C75" s="61"/>
      <c r="D75" s="135"/>
      <c r="E75" s="206">
        <v>0</v>
      </c>
      <c r="F75" s="4"/>
      <c r="G75" s="4"/>
      <c r="H75" s="142"/>
      <c r="J75" s="116" t="s">
        <v>97</v>
      </c>
      <c r="K75" s="157">
        <v>2000</v>
      </c>
      <c r="L75">
        <v>1</v>
      </c>
      <c r="M75" s="154">
        <f t="shared" si="2"/>
        <v>2000</v>
      </c>
    </row>
    <row r="76" spans="1:13" ht="18" x14ac:dyDescent="0.25">
      <c r="A76" s="136" t="s">
        <v>54</v>
      </c>
      <c r="B76" s="137"/>
      <c r="C76" s="137"/>
      <c r="D76" s="138"/>
      <c r="E76" s="207">
        <f>E74+E75</f>
        <v>782758.22380000004</v>
      </c>
      <c r="F76" s="140"/>
      <c r="G76" s="140"/>
      <c r="H76" s="141"/>
      <c r="J76" s="116" t="s">
        <v>98</v>
      </c>
      <c r="K76" s="157">
        <v>7000</v>
      </c>
      <c r="L76">
        <v>1</v>
      </c>
      <c r="M76" s="154">
        <f t="shared" si="2"/>
        <v>7000</v>
      </c>
    </row>
    <row r="77" spans="1:13" ht="15.75" thickBot="1" x14ac:dyDescent="0.3">
      <c r="J77" s="116" t="s">
        <v>99</v>
      </c>
      <c r="K77" s="157">
        <v>15000</v>
      </c>
      <c r="L77">
        <v>1</v>
      </c>
      <c r="M77" s="154">
        <f t="shared" si="2"/>
        <v>15000</v>
      </c>
    </row>
    <row r="78" spans="1:13" ht="19.5" thickBot="1" x14ac:dyDescent="0.35">
      <c r="A78" s="203" t="s">
        <v>36</v>
      </c>
      <c r="B78" s="143"/>
      <c r="C78" s="143"/>
      <c r="D78" s="144"/>
      <c r="E78" s="110" t="s">
        <v>37</v>
      </c>
      <c r="F78" s="110" t="s">
        <v>117</v>
      </c>
      <c r="G78" s="121" t="s">
        <v>66</v>
      </c>
      <c r="H78" s="110" t="s">
        <v>116</v>
      </c>
      <c r="I78" s="1"/>
      <c r="J78" s="152"/>
      <c r="K78" s="117"/>
      <c r="L78" s="117"/>
      <c r="M78" s="155">
        <f>SUM(M70:M77)</f>
        <v>79000</v>
      </c>
    </row>
    <row r="79" spans="1:13" ht="17.25" x14ac:dyDescent="0.3">
      <c r="A79" s="82" t="s">
        <v>123</v>
      </c>
      <c r="B79" s="122" t="s">
        <v>127</v>
      </c>
      <c r="C79" s="122"/>
      <c r="D79" s="122"/>
      <c r="E79" s="107">
        <v>0.02</v>
      </c>
      <c r="F79" s="81">
        <f>$E$76*E79</f>
        <v>15655.164476000002</v>
      </c>
      <c r="G79" s="107">
        <v>0.3</v>
      </c>
      <c r="H79" s="108">
        <f>IF(G79=0,F79,F79-(F79*G79))</f>
        <v>10958.615133200001</v>
      </c>
    </row>
    <row r="80" spans="1:13" ht="17.25" x14ac:dyDescent="0.3">
      <c r="A80" s="86" t="s">
        <v>122</v>
      </c>
      <c r="B80" s="3" t="s">
        <v>125</v>
      </c>
      <c r="C80" s="3"/>
      <c r="D80" s="3"/>
      <c r="E80" s="209">
        <v>0.15</v>
      </c>
      <c r="F80" s="5">
        <f t="shared" ref="F80:F85" si="3">$E$76*E80</f>
        <v>117413.73357</v>
      </c>
      <c r="G80" s="209">
        <v>0.3</v>
      </c>
      <c r="H80" s="85">
        <f t="shared" ref="H80:H85" si="4">IF(G80=0,F80,F80-(F80*G80))</f>
        <v>82189.613498999999</v>
      </c>
    </row>
    <row r="81" spans="1:10" ht="17.25" x14ac:dyDescent="0.3">
      <c r="A81" s="86" t="s">
        <v>121</v>
      </c>
      <c r="B81" s="3" t="s">
        <v>124</v>
      </c>
      <c r="C81" s="3"/>
      <c r="D81" s="3"/>
      <c r="E81" s="209">
        <v>0.2</v>
      </c>
      <c r="F81" s="5">
        <f t="shared" si="3"/>
        <v>156551.64476000002</v>
      </c>
      <c r="G81" s="209">
        <v>0.3</v>
      </c>
      <c r="H81" s="85">
        <f t="shared" si="4"/>
        <v>109586.15133200001</v>
      </c>
    </row>
    <row r="82" spans="1:10" ht="17.25" x14ac:dyDescent="0.3">
      <c r="A82" s="86" t="s">
        <v>45</v>
      </c>
      <c r="B82" s="3" t="s">
        <v>46</v>
      </c>
      <c r="C82" s="3"/>
      <c r="D82" s="3"/>
      <c r="E82" s="209">
        <v>0.1</v>
      </c>
      <c r="F82" s="5">
        <f t="shared" si="3"/>
        <v>78275.822380000012</v>
      </c>
      <c r="G82" s="209">
        <v>0.2</v>
      </c>
      <c r="H82" s="85">
        <f t="shared" si="4"/>
        <v>62620.657904000007</v>
      </c>
    </row>
    <row r="83" spans="1:10" ht="17.25" x14ac:dyDescent="0.3">
      <c r="A83" s="86" t="s">
        <v>57</v>
      </c>
      <c r="B83" s="3" t="s">
        <v>47</v>
      </c>
      <c r="C83" s="3"/>
      <c r="D83" s="3"/>
      <c r="E83" s="209">
        <v>0.2</v>
      </c>
      <c r="F83" s="5">
        <f t="shared" si="3"/>
        <v>156551.64476000002</v>
      </c>
      <c r="G83" s="209">
        <v>0.2</v>
      </c>
      <c r="H83" s="85">
        <f>IF(G83=0,F83,F83-(F83*G83))</f>
        <v>125241.31580800001</v>
      </c>
    </row>
    <row r="84" spans="1:10" ht="17.25" x14ac:dyDescent="0.3">
      <c r="A84" s="86" t="s">
        <v>50</v>
      </c>
      <c r="B84" s="3" t="s">
        <v>126</v>
      </c>
      <c r="C84" s="3"/>
      <c r="D84" s="3"/>
      <c r="E84" s="209">
        <v>0.3</v>
      </c>
      <c r="F84" s="5">
        <f t="shared" si="3"/>
        <v>234827.46713999999</v>
      </c>
      <c r="G84" s="209">
        <v>0</v>
      </c>
      <c r="H84" s="85">
        <f>IF(G84=0,F84,F84-(F84*G84))</f>
        <v>234827.46713999999</v>
      </c>
    </row>
    <row r="85" spans="1:10" ht="18" thickBot="1" x14ac:dyDescent="0.35">
      <c r="A85" s="87" t="s">
        <v>120</v>
      </c>
      <c r="B85" s="123" t="s">
        <v>119</v>
      </c>
      <c r="C85" s="123"/>
      <c r="D85" s="123"/>
      <c r="E85" s="109">
        <v>0.03</v>
      </c>
      <c r="F85" s="83">
        <f t="shared" si="3"/>
        <v>23482.746714000001</v>
      </c>
      <c r="G85" s="109">
        <v>0</v>
      </c>
      <c r="H85" s="84">
        <f t="shared" si="4"/>
        <v>23482.746714000001</v>
      </c>
    </row>
    <row r="86" spans="1:10" ht="18" thickBot="1" x14ac:dyDescent="0.35">
      <c r="A86" s="1"/>
      <c r="B86" s="1"/>
      <c r="C86" s="1"/>
      <c r="F86" s="1"/>
      <c r="G86" s="3"/>
      <c r="H86" s="1"/>
    </row>
    <row r="87" spans="1:10" ht="19.5" thickBot="1" x14ac:dyDescent="0.35">
      <c r="A87" s="1"/>
      <c r="B87" s="1"/>
      <c r="C87" s="1"/>
      <c r="E87" s="298" t="s">
        <v>90</v>
      </c>
      <c r="F87" s="299"/>
      <c r="G87" s="300"/>
      <c r="H87" s="115">
        <f>H88*(1-(SUM(H79:H85)/H88))</f>
        <v>133851.65626980003</v>
      </c>
    </row>
    <row r="88" spans="1:10" ht="19.5" thickBot="1" x14ac:dyDescent="0.35">
      <c r="B88" s="111"/>
      <c r="C88" s="111"/>
      <c r="E88" s="298" t="s">
        <v>53</v>
      </c>
      <c r="F88" s="299"/>
      <c r="G88" s="300"/>
      <c r="H88" s="115">
        <f>SUM(F79:F85)</f>
        <v>782758.22380000004</v>
      </c>
    </row>
    <row r="89" spans="1:10" ht="15.75" thickBot="1" x14ac:dyDescent="0.3"/>
    <row r="90" spans="1:10" ht="18.75" thickBot="1" x14ac:dyDescent="0.3">
      <c r="E90" s="305" t="s">
        <v>114</v>
      </c>
      <c r="F90" s="306"/>
      <c r="G90" s="307"/>
      <c r="H90" s="112">
        <f>H88-H87</f>
        <v>648906.5675302</v>
      </c>
    </row>
    <row r="91" spans="1:10" ht="17.25" x14ac:dyDescent="0.3">
      <c r="A91" s="1"/>
      <c r="B91" s="208"/>
      <c r="C91" s="185"/>
      <c r="D91" s="185"/>
      <c r="E91" s="60"/>
      <c r="F91" s="168"/>
      <c r="G91" s="4"/>
      <c r="H91" s="77"/>
    </row>
    <row r="92" spans="1:10" x14ac:dyDescent="0.25">
      <c r="J92" s="213"/>
    </row>
    <row r="93" spans="1:10" x14ac:dyDescent="0.25">
      <c r="D93" s="297"/>
      <c r="E93" s="297"/>
      <c r="J93" s="213"/>
    </row>
    <row r="94" spans="1:10" x14ac:dyDescent="0.25">
      <c r="J94" s="213"/>
    </row>
    <row r="95" spans="1:10" x14ac:dyDescent="0.25">
      <c r="D95" s="297"/>
      <c r="E95" s="297"/>
      <c r="J95" s="213"/>
    </row>
    <row r="96" spans="1:10" x14ac:dyDescent="0.25">
      <c r="J96" s="214"/>
    </row>
    <row r="97" spans="4:13" x14ac:dyDescent="0.25">
      <c r="D97" s="297"/>
      <c r="E97" s="297"/>
      <c r="F97" s="297"/>
      <c r="G97" s="297"/>
    </row>
    <row r="98" spans="4:13" x14ac:dyDescent="0.25">
      <c r="D98" s="297"/>
      <c r="E98" s="297"/>
      <c r="F98" s="297"/>
      <c r="G98" s="297"/>
    </row>
    <row r="99" spans="4:13" x14ac:dyDescent="0.25">
      <c r="D99" s="297"/>
      <c r="E99" s="297"/>
      <c r="F99" s="297"/>
      <c r="G99" s="297"/>
    </row>
    <row r="100" spans="4:13" x14ac:dyDescent="0.25">
      <c r="D100" s="297"/>
      <c r="E100" s="297"/>
      <c r="F100" s="297"/>
      <c r="G100" s="297"/>
    </row>
    <row r="101" spans="4:13" x14ac:dyDescent="0.25">
      <c r="D101" s="297"/>
      <c r="E101" s="297"/>
      <c r="F101" s="297"/>
      <c r="G101" s="297"/>
    </row>
    <row r="102" spans="4:13" x14ac:dyDescent="0.25">
      <c r="D102" s="297"/>
      <c r="E102" s="297"/>
      <c r="F102" s="297"/>
      <c r="G102" s="297"/>
    </row>
    <row r="103" spans="4:13" x14ac:dyDescent="0.25">
      <c r="D103" s="297"/>
      <c r="E103" s="297"/>
      <c r="F103" s="297"/>
      <c r="G103" s="297"/>
      <c r="K103" s="91"/>
    </row>
    <row r="104" spans="4:13" x14ac:dyDescent="0.25">
      <c r="D104" s="297"/>
      <c r="E104" s="297"/>
      <c r="F104" s="297"/>
      <c r="G104" s="297"/>
    </row>
    <row r="106" spans="4:13" x14ac:dyDescent="0.25">
      <c r="D106" s="297"/>
      <c r="E106" s="297"/>
      <c r="F106" s="297"/>
      <c r="G106" s="297"/>
      <c r="M106" s="157"/>
    </row>
    <row r="117" spans="4:14" ht="22.5" customHeight="1" x14ac:dyDescent="0.25"/>
    <row r="119" spans="4:14" x14ac:dyDescent="0.25">
      <c r="D119" s="297"/>
      <c r="E119" s="297"/>
      <c r="J119" s="210"/>
      <c r="L119" s="157"/>
    </row>
    <row r="120" spans="4:14" x14ac:dyDescent="0.25">
      <c r="D120" s="297"/>
      <c r="E120" s="297"/>
      <c r="L120" s="210"/>
      <c r="M120" s="157"/>
    </row>
    <row r="121" spans="4:14" x14ac:dyDescent="0.25">
      <c r="D121" s="297"/>
      <c r="E121" s="297"/>
    </row>
    <row r="122" spans="4:14" x14ac:dyDescent="0.25">
      <c r="M122" s="91"/>
    </row>
    <row r="125" spans="4:14" x14ac:dyDescent="0.25">
      <c r="N125" s="157"/>
    </row>
    <row r="128" spans="4:14" x14ac:dyDescent="0.25">
      <c r="K128" s="114"/>
    </row>
    <row r="129" spans="11:11" x14ac:dyDescent="0.25">
      <c r="K129" s="113"/>
    </row>
  </sheetData>
  <mergeCells count="36">
    <mergeCell ref="A21:B21"/>
    <mergeCell ref="E88:G88"/>
    <mergeCell ref="E90:G90"/>
    <mergeCell ref="D120:E120"/>
    <mergeCell ref="D98:E98"/>
    <mergeCell ref="D99:E99"/>
    <mergeCell ref="D100:E100"/>
    <mergeCell ref="D101:E101"/>
    <mergeCell ref="D102:E102"/>
    <mergeCell ref="D103:E103"/>
    <mergeCell ref="F106:G106"/>
    <mergeCell ref="D104:E104"/>
    <mergeCell ref="F104:G104"/>
    <mergeCell ref="D121:E121"/>
    <mergeCell ref="D119:E119"/>
    <mergeCell ref="E87:G87"/>
    <mergeCell ref="E67:H67"/>
    <mergeCell ref="E68:H68"/>
    <mergeCell ref="F97:G97"/>
    <mergeCell ref="F98:G98"/>
    <mergeCell ref="F99:G99"/>
    <mergeCell ref="F100:G100"/>
    <mergeCell ref="F101:G101"/>
    <mergeCell ref="F102:G102"/>
    <mergeCell ref="F103:G103"/>
    <mergeCell ref="D106:E106"/>
    <mergeCell ref="D97:E97"/>
    <mergeCell ref="D95:E95"/>
    <mergeCell ref="D93:E93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68" xr:uid="{ECF54CF7-43CA-4261-8A26-6CBCF5480061}">
      <formula1>"Low,Medium,High"</formula1>
    </dataValidation>
    <dataValidation type="list" allowBlank="1" showInputMessage="1" showErrorMessage="1" sqref="D16:D19 D22:D27 D38:D45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D9EB-35DD-4682-B831-FE644E8D0651}">
  <dimension ref="A1:N124"/>
  <sheetViews>
    <sheetView topLeftCell="A32" zoomScaleNormal="100" workbookViewId="0">
      <selection activeCell="C47" sqref="C4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287" t="s">
        <v>12</v>
      </c>
      <c r="B11" s="288"/>
      <c r="C11" s="288"/>
      <c r="D11" s="288"/>
      <c r="E11" s="288"/>
      <c r="F11" s="288"/>
      <c r="G11" s="288"/>
      <c r="H11" s="28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0" t="s">
        <v>63</v>
      </c>
      <c r="B13" s="291"/>
      <c r="C13" s="29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3" t="s">
        <v>59</v>
      </c>
      <c r="B14" s="294"/>
      <c r="C14" s="29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95" t="s">
        <v>76</v>
      </c>
      <c r="B15" s="296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280" t="s">
        <v>71</v>
      </c>
      <c r="K15" s="281"/>
      <c r="L15" s="282"/>
      <c r="M15" s="150">
        <f>G15</f>
        <v>3.375</v>
      </c>
    </row>
    <row r="16" spans="1:13" ht="17.25" x14ac:dyDescent="0.3">
      <c r="A16" s="180" t="s">
        <v>170</v>
      </c>
      <c r="B16" s="286"/>
      <c r="C16" s="286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283" t="s">
        <v>74</v>
      </c>
      <c r="K19" s="284"/>
      <c r="L19" s="285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295" t="s">
        <v>168</v>
      </c>
      <c r="B21" s="296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176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45950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175</v>
      </c>
      <c r="D38" s="60" t="s">
        <v>73</v>
      </c>
      <c r="E38" s="5">
        <v>35</v>
      </c>
      <c r="F38" s="1">
        <v>490</v>
      </c>
      <c r="H38" s="270">
        <f>F38*E38</f>
        <v>17150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174</v>
      </c>
      <c r="B39" s="180"/>
      <c r="C39" s="1"/>
      <c r="D39" s="60" t="s">
        <v>73</v>
      </c>
      <c r="E39" s="5">
        <v>80</v>
      </c>
      <c r="F39" s="1">
        <v>110</v>
      </c>
      <c r="G39" s="70"/>
      <c r="H39" s="271">
        <f>F39*E39</f>
        <v>8800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150</v>
      </c>
      <c r="F40" s="1">
        <v>120</v>
      </c>
      <c r="H40" s="271">
        <f>F40*E40</f>
        <v>18000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/>
      <c r="F41" s="178"/>
      <c r="G41" s="269"/>
      <c r="H41" s="272">
        <v>2000</v>
      </c>
      <c r="M41" s="1"/>
    </row>
    <row r="42" spans="1:13" ht="17.25" x14ac:dyDescent="0.3">
      <c r="M42" s="1"/>
    </row>
    <row r="43" spans="1:13" ht="18.75" x14ac:dyDescent="0.3">
      <c r="A43" s="1"/>
      <c r="B43" s="1"/>
      <c r="C43" s="1"/>
      <c r="D43" s="1"/>
      <c r="E43" s="1"/>
      <c r="F43" s="132"/>
      <c r="G43" s="132"/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45950</v>
      </c>
      <c r="L44" s="1"/>
      <c r="M44" s="9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45950</v>
      </c>
      <c r="J46" s="157"/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</row>
    <row r="62" spans="1:13" ht="18" thickBot="1" x14ac:dyDescent="0.35">
      <c r="J62" s="5"/>
      <c r="K62" s="5"/>
      <c r="M62" s="1"/>
    </row>
    <row r="63" spans="1:13" ht="19.5" thickBot="1" x14ac:dyDescent="0.35">
      <c r="A63" s="202" t="s">
        <v>35</v>
      </c>
      <c r="B63" s="197"/>
      <c r="C63" s="197"/>
      <c r="D63" s="197"/>
      <c r="E63" s="301">
        <f>H61</f>
        <v>1200000</v>
      </c>
      <c r="F63" s="302"/>
      <c r="G63" s="302"/>
      <c r="H63" s="303"/>
      <c r="L63" s="1"/>
      <c r="M63" s="1"/>
    </row>
    <row r="64" spans="1:13" ht="19.5" thickBot="1" x14ac:dyDescent="0.35">
      <c r="A64" s="199" t="s">
        <v>84</v>
      </c>
      <c r="B64" s="198"/>
      <c r="C64" s="198"/>
      <c r="D64" s="198"/>
      <c r="E64" s="304" t="s">
        <v>130</v>
      </c>
      <c r="F64" s="304"/>
      <c r="G64" s="304"/>
      <c r="H64" s="304"/>
      <c r="J64" t="s">
        <v>101</v>
      </c>
      <c r="K64" t="s">
        <v>102</v>
      </c>
      <c r="L64" t="s">
        <v>103</v>
      </c>
      <c r="M64" t="s">
        <v>104</v>
      </c>
    </row>
    <row r="65" spans="1:13" ht="15.75" thickBot="1" x14ac:dyDescent="0.3">
      <c r="J65" s="151" t="s">
        <v>93</v>
      </c>
      <c r="K65" s="156">
        <v>20000</v>
      </c>
      <c r="L65" s="90">
        <v>1</v>
      </c>
      <c r="M65" s="153">
        <f t="shared" ref="M65:M72" si="3">K65*L65</f>
        <v>20000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16" t="s">
        <v>94</v>
      </c>
      <c r="K66" s="157">
        <v>3000</v>
      </c>
      <c r="L66">
        <v>4</v>
      </c>
      <c r="M66" s="154">
        <f t="shared" si="3"/>
        <v>12000</v>
      </c>
    </row>
    <row r="67" spans="1:13" x14ac:dyDescent="0.25">
      <c r="J67" s="116" t="s">
        <v>95</v>
      </c>
      <c r="K67" s="157">
        <v>5000</v>
      </c>
      <c r="L67">
        <v>2</v>
      </c>
      <c r="M67" s="154">
        <f t="shared" si="3"/>
        <v>10000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96</v>
      </c>
      <c r="K68" s="157">
        <v>8000</v>
      </c>
      <c r="L68">
        <v>1</v>
      </c>
      <c r="M68" s="154">
        <f t="shared" si="3"/>
        <v>8000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100</v>
      </c>
      <c r="K69" s="157">
        <v>5000</v>
      </c>
      <c r="L69">
        <v>1</v>
      </c>
      <c r="M69" s="154">
        <f t="shared" si="3"/>
        <v>5000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97</v>
      </c>
      <c r="K70" s="157">
        <v>2000</v>
      </c>
      <c r="L70">
        <v>1</v>
      </c>
      <c r="M70" s="154">
        <f t="shared" si="3"/>
        <v>2000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98</v>
      </c>
      <c r="K71" s="157">
        <v>7000</v>
      </c>
      <c r="L71">
        <v>1</v>
      </c>
      <c r="M71" s="154">
        <f t="shared" si="3"/>
        <v>7000</v>
      </c>
    </row>
    <row r="72" spans="1:13" ht="18.75" thickBot="1" x14ac:dyDescent="0.3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99</v>
      </c>
      <c r="K72" s="157">
        <v>15000</v>
      </c>
      <c r="L72">
        <v>1</v>
      </c>
      <c r="M72" s="154">
        <f t="shared" si="3"/>
        <v>15000</v>
      </c>
    </row>
    <row r="73" spans="1:13" ht="18" thickBot="1" x14ac:dyDescent="0.35">
      <c r="I73" s="1"/>
      <c r="J73" s="152"/>
      <c r="K73" s="117"/>
      <c r="L73" s="117"/>
      <c r="M73" s="155">
        <f>SUM(M65:M72)</f>
        <v>79000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4">$E$72*E76</f>
        <v>28583.826854999999</v>
      </c>
      <c r="G76" s="209">
        <v>0.3</v>
      </c>
      <c r="H76" s="85">
        <f t="shared" ref="H76:H81" si="5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4"/>
        <v>38111.769140000004</v>
      </c>
      <c r="G77" s="209">
        <v>0.3</v>
      </c>
      <c r="H77" s="85">
        <f t="shared" si="5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4"/>
        <v>19055.884570000002</v>
      </c>
      <c r="G78" s="209">
        <v>0.2</v>
      </c>
      <c r="H78" s="85">
        <f t="shared" si="5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4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4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4"/>
        <v>5716.7653709999995</v>
      </c>
      <c r="G81" s="109">
        <v>0</v>
      </c>
      <c r="H81" s="84">
        <f t="shared" si="5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298" t="s">
        <v>90</v>
      </c>
      <c r="F83" s="299"/>
      <c r="G83" s="300"/>
      <c r="H83" s="115">
        <f>H84*(1-(SUM(H75:H81)/H84))</f>
        <v>32585.562614700008</v>
      </c>
    </row>
    <row r="84" spans="1:10" ht="19.5" thickBot="1" x14ac:dyDescent="0.35">
      <c r="B84" s="111"/>
      <c r="C84" s="111"/>
      <c r="E84" s="298" t="s">
        <v>53</v>
      </c>
      <c r="F84" s="299"/>
      <c r="G84" s="300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305" t="s">
        <v>114</v>
      </c>
      <c r="F86" s="306"/>
      <c r="G86" s="307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  <c r="J87" s="213"/>
    </row>
    <row r="88" spans="1:10" x14ac:dyDescent="0.25">
      <c r="J88" s="213"/>
    </row>
    <row r="89" spans="1:10" x14ac:dyDescent="0.25">
      <c r="D89" s="297"/>
      <c r="E89" s="297"/>
      <c r="J89" s="213"/>
    </row>
    <row r="90" spans="1:10" x14ac:dyDescent="0.25">
      <c r="J90" s="213"/>
    </row>
    <row r="91" spans="1:10" x14ac:dyDescent="0.25">
      <c r="D91" s="297"/>
      <c r="E91" s="297"/>
      <c r="J91" s="214"/>
    </row>
    <row r="93" spans="1:10" x14ac:dyDescent="0.25">
      <c r="D93" s="297"/>
      <c r="E93" s="297"/>
      <c r="F93" s="297"/>
      <c r="G93" s="297"/>
    </row>
    <row r="94" spans="1:10" x14ac:dyDescent="0.25">
      <c r="D94" s="297"/>
      <c r="E94" s="297"/>
      <c r="F94" s="297"/>
      <c r="G94" s="297"/>
    </row>
    <row r="95" spans="1:10" x14ac:dyDescent="0.25">
      <c r="D95" s="297"/>
      <c r="E95" s="297"/>
      <c r="F95" s="297"/>
      <c r="G95" s="297"/>
    </row>
    <row r="96" spans="1:10" x14ac:dyDescent="0.25">
      <c r="D96" s="297"/>
      <c r="E96" s="297"/>
      <c r="F96" s="297"/>
      <c r="G96" s="297"/>
    </row>
    <row r="97" spans="4:13" x14ac:dyDescent="0.25">
      <c r="D97" s="297"/>
      <c r="E97" s="297"/>
      <c r="F97" s="297"/>
      <c r="G97" s="297"/>
    </row>
    <row r="98" spans="4:13" x14ac:dyDescent="0.25">
      <c r="D98" s="297"/>
      <c r="E98" s="297"/>
      <c r="F98" s="297"/>
      <c r="G98" s="297"/>
      <c r="K98" s="91"/>
    </row>
    <row r="99" spans="4:13" x14ac:dyDescent="0.25">
      <c r="D99" s="297"/>
      <c r="E99" s="297"/>
      <c r="F99" s="297"/>
      <c r="G99" s="297"/>
    </row>
    <row r="100" spans="4:13" x14ac:dyDescent="0.25">
      <c r="D100" s="297"/>
      <c r="E100" s="297"/>
      <c r="F100" s="297"/>
      <c r="G100" s="297"/>
    </row>
    <row r="101" spans="4:13" x14ac:dyDescent="0.25">
      <c r="M101" s="157"/>
    </row>
    <row r="102" spans="4:13" x14ac:dyDescent="0.25">
      <c r="D102" s="297"/>
      <c r="E102" s="297"/>
      <c r="F102" s="297"/>
      <c r="G102" s="297"/>
    </row>
    <row r="112" spans="4:13" ht="22.5" customHeight="1" x14ac:dyDescent="0.25"/>
    <row r="114" spans="4:14" x14ac:dyDescent="0.25">
      <c r="J114" s="210"/>
      <c r="L114" s="157"/>
    </row>
    <row r="115" spans="4:14" x14ac:dyDescent="0.25">
      <c r="D115" s="297"/>
      <c r="E115" s="297"/>
      <c r="L115" s="210"/>
      <c r="M115" s="157"/>
    </row>
    <row r="116" spans="4:14" x14ac:dyDescent="0.25">
      <c r="D116" s="297"/>
      <c r="E116" s="297"/>
    </row>
    <row r="117" spans="4:14" x14ac:dyDescent="0.25">
      <c r="D117" s="297"/>
      <c r="E117" s="297"/>
      <c r="M117" s="91"/>
    </row>
    <row r="120" spans="4:14" x14ac:dyDescent="0.25">
      <c r="N120" s="157"/>
    </row>
    <row r="123" spans="4:14" x14ac:dyDescent="0.25">
      <c r="K123" s="114"/>
    </row>
    <row r="124" spans="4:14" x14ac:dyDescent="0.25">
      <c r="K124" s="113"/>
    </row>
  </sheetData>
  <mergeCells count="36">
    <mergeCell ref="D102:E102"/>
    <mergeCell ref="F102:G102"/>
    <mergeCell ref="D115:E115"/>
    <mergeCell ref="D116:E116"/>
    <mergeCell ref="D117:E117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J15:L15"/>
    <mergeCell ref="D94:E94"/>
    <mergeCell ref="F94:G94"/>
    <mergeCell ref="J19:L19"/>
    <mergeCell ref="A21:B21"/>
    <mergeCell ref="E63:H63"/>
    <mergeCell ref="E64:H64"/>
    <mergeCell ref="E83:G83"/>
    <mergeCell ref="E84:G84"/>
    <mergeCell ref="E86:G86"/>
    <mergeCell ref="D89:E89"/>
    <mergeCell ref="D91:E91"/>
    <mergeCell ref="D93:E93"/>
    <mergeCell ref="F93:G93"/>
    <mergeCell ref="B16:C16"/>
    <mergeCell ref="A11:H11"/>
    <mergeCell ref="A13:C13"/>
    <mergeCell ref="A14:C14"/>
    <mergeCell ref="A15:B15"/>
  </mergeCells>
  <dataValidations count="2">
    <dataValidation type="list" allowBlank="1" showInputMessage="1" showErrorMessage="1" sqref="D16:D19 D38:D41 D22:D27" xr:uid="{506E51E6-7E1D-4131-A265-4D2086CBF3D2}">
      <formula1>"Dewald, Hannes, Johan"</formula1>
    </dataValidation>
    <dataValidation type="list" allowBlank="1" showInputMessage="1" showErrorMessage="1" sqref="E64" xr:uid="{C8526B11-FA29-46D1-B99C-A65005D20FA7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7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4" t="s">
        <v>44</v>
      </c>
      <c r="C13" s="335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2" t="s">
        <v>53</v>
      </c>
      <c r="O14" s="333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6" t="s">
        <v>18</v>
      </c>
      <c r="C24" s="336"/>
      <c r="D24" s="336"/>
      <c r="E24" s="336"/>
      <c r="F24" s="336"/>
      <c r="G24" s="336"/>
    </row>
    <row r="25" spans="2:12" x14ac:dyDescent="0.3">
      <c r="B25" s="337" t="s">
        <v>19</v>
      </c>
      <c r="C25" s="337" t="s">
        <v>20</v>
      </c>
      <c r="D25" s="337"/>
      <c r="E25" s="337" t="s">
        <v>21</v>
      </c>
      <c r="F25" s="337" t="s">
        <v>22</v>
      </c>
      <c r="G25" s="337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7"/>
      <c r="C26" s="10"/>
      <c r="D26" s="10"/>
      <c r="E26" s="337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7"/>
      <c r="C27" s="10" t="s">
        <v>23</v>
      </c>
      <c r="D27" s="10" t="s">
        <v>24</v>
      </c>
      <c r="E27" s="337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7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 Fees (2D)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2026-03-19T15:03:44Z</dcterms:modified>
</cp:coreProperties>
</file>