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- QUOTES\2026\x008 - Daniel (Possible sites)\4095_Fairview\"/>
    </mc:Choice>
  </mc:AlternateContent>
  <xr:revisionPtr revIDLastSave="0" documentId="13_ncr:1_{939ADDFE-2AFF-47F4-B8AE-43E41985EB7C}" xr6:coauthVersionLast="47" xr6:coauthVersionMax="47" xr10:uidLastSave="{00000000-0000-0000-0000-000000000000}"/>
  <bookViews>
    <workbookView xWindow="-120" yWindow="-120" windowWidth="29040" windowHeight="15720" xr2:uid="{17838A8F-6213-4D15-B626-2AD819BF63B3}"/>
  </bookViews>
  <sheets>
    <sheet name="Erf 4095_Fairview" sheetId="1" r:id="rId1"/>
    <sheet name="TDL_Sewer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K11" i="1"/>
  <c r="F44" i="1"/>
  <c r="K10" i="1"/>
  <c r="I9" i="1"/>
  <c r="I8" i="1"/>
  <c r="I7" i="1"/>
  <c r="I6" i="1"/>
  <c r="I5" i="1"/>
  <c r="F28" i="1"/>
  <c r="D28" i="1"/>
  <c r="F13" i="1" l="1"/>
  <c r="F20" i="1"/>
  <c r="F25" i="1" s="1"/>
  <c r="C4" i="3" l="1"/>
  <c r="C7" i="3" s="1"/>
  <c r="D8" i="3" s="1"/>
  <c r="D9" i="3" s="1"/>
  <c r="D10" i="3" s="1"/>
  <c r="D11" i="3" s="1"/>
  <c r="D12" i="3" s="1"/>
  <c r="D13" i="3" s="1"/>
  <c r="D14" i="3" s="1"/>
  <c r="D15" i="3" s="1"/>
  <c r="D16" i="3" s="1"/>
  <c r="C19" i="3" l="1"/>
  <c r="D20" i="3" s="1"/>
  <c r="D21" i="3" s="1"/>
  <c r="D22" i="3" s="1"/>
  <c r="D23" i="3" s="1"/>
  <c r="D24" i="3" s="1"/>
  <c r="D25" i="3" s="1"/>
  <c r="D26" i="3" s="1"/>
  <c r="D27" i="3" s="1"/>
  <c r="D28" i="3" s="1"/>
  <c r="F6" i="1" l="1"/>
  <c r="F7" i="1"/>
  <c r="K4" i="1"/>
  <c r="K3" i="1"/>
  <c r="F36" i="1"/>
  <c r="I3" i="1" l="1"/>
  <c r="F9" i="1" l="1"/>
  <c r="F23" i="1" s="1"/>
  <c r="F12" i="1" l="1"/>
  <c r="F11" i="1"/>
  <c r="F4" i="1"/>
  <c r="F22" i="1" s="1"/>
  <c r="F14" i="1" l="1"/>
  <c r="F24" i="1" s="1"/>
  <c r="F26" i="1" s="1"/>
  <c r="F31" i="1" l="1"/>
  <c r="F37" i="1" s="1"/>
  <c r="F38" i="1" s="1"/>
  <c r="F40" i="1" s="1"/>
  <c r="F42" i="1" s="1"/>
</calcChain>
</file>

<file path=xl/sharedStrings.xml><?xml version="1.0" encoding="utf-8"?>
<sst xmlns="http://schemas.openxmlformats.org/spreadsheetml/2006/main" count="86" uniqueCount="66">
  <si>
    <t>R per sqm</t>
  </si>
  <si>
    <t>Erf size (sqm):</t>
  </si>
  <si>
    <t>Purchase price:</t>
  </si>
  <si>
    <t>Total building (sqm):</t>
  </si>
  <si>
    <t>Building rate:</t>
  </si>
  <si>
    <t>Build cost:</t>
  </si>
  <si>
    <t>Ex. VAT</t>
  </si>
  <si>
    <t>Rate per sqm:</t>
  </si>
  <si>
    <t>Required income</t>
  </si>
  <si>
    <t>Operation costs:</t>
  </si>
  <si>
    <t xml:space="preserve"> - Rates, insurance, vacancies, maintenance</t>
  </si>
  <si>
    <t>Required gross rental income</t>
  </si>
  <si>
    <t>Gross Rent (per year):</t>
  </si>
  <si>
    <t>Monthly Rental</t>
  </si>
  <si>
    <t>Rate per sqm</t>
  </si>
  <si>
    <t>sqm</t>
  </si>
  <si>
    <t>Rent</t>
  </si>
  <si>
    <t>Link</t>
  </si>
  <si>
    <t>Precedent rate calculations:</t>
  </si>
  <si>
    <t>Precedent Rates</t>
  </si>
  <si>
    <t>https://www.property24.com/to-rent/fairview/gqeberha/eastern-cape/8316/116792816</t>
  </si>
  <si>
    <t>Blackwood Business Park, Fairview (+R10/m2 Operation)</t>
  </si>
  <si>
    <t>https://www.property24.com/to-rent/fairview/gqeberha/eastern-cape/8316/116781294</t>
  </si>
  <si>
    <t>`</t>
  </si>
  <si>
    <t>Target yield/Return (per year)</t>
  </si>
  <si>
    <t>TDL</t>
  </si>
  <si>
    <t>Drainage Levi</t>
  </si>
  <si>
    <t>Area</t>
  </si>
  <si>
    <t>Coverage</t>
  </si>
  <si>
    <t>Rate</t>
  </si>
  <si>
    <t>Precedent fees (of similar unit):</t>
  </si>
  <si>
    <t>Year</t>
  </si>
  <si>
    <t>Area (sqm)</t>
  </si>
  <si>
    <t>Surveyor fees (Consolidation, Survey, etc)</t>
  </si>
  <si>
    <t>Professional Fees:</t>
  </si>
  <si>
    <t xml:space="preserve">Site development submission fees </t>
  </si>
  <si>
    <t xml:space="preserve">Transportation and development levi </t>
  </si>
  <si>
    <t xml:space="preserve">Sewer development levi </t>
  </si>
  <si>
    <t xml:space="preserve">Municipal submission fees </t>
  </si>
  <si>
    <t>+-</t>
  </si>
  <si>
    <t>Submission related fees:</t>
  </si>
  <si>
    <t xml:space="preserve">Total investment </t>
  </si>
  <si>
    <t>Structural engineering</t>
  </si>
  <si>
    <t>Architectural fees (Design, SDP, Municipal, etc)</t>
  </si>
  <si>
    <t>6 Months</t>
  </si>
  <si>
    <t>Build Duration:</t>
  </si>
  <si>
    <t>Development cost per M2</t>
  </si>
  <si>
    <t>m2</t>
  </si>
  <si>
    <t>https://www.property24.com/to-rent/fairview/gqeberha/eastern-cape/8316/117019323</t>
  </si>
  <si>
    <t>177 Circular Drive, Fairview, Gqeberha</t>
  </si>
  <si>
    <t>https://www.property24.com/to-rent/fairview/gqeberha/eastern-cape/8316/116986885</t>
  </si>
  <si>
    <t>160 Mimosa Road, Fairview, Gqeberha</t>
  </si>
  <si>
    <t>1 Butterfield Crescent, Fairview, Gqeberha</t>
  </si>
  <si>
    <t>https://www.property24.com/to-rent/fairview/gqeberha/eastern-cape/8316/116981509</t>
  </si>
  <si>
    <t>https://www.property24.com/to-rent/fairview/gqeberha/eastern-cape/8316/116979795</t>
  </si>
  <si>
    <t>51 Leadwood Crescent, Fairview, Gqeberha</t>
  </si>
  <si>
    <t>145 Willow Road, Fairview, Gqeberha</t>
  </si>
  <si>
    <t>https://www.property24.com/to-rent/fairview/gqeberha/eastern-cape/8316/116979864</t>
  </si>
  <si>
    <t>https://www.property24.com/to-rent/fairview/gqeberha/eastern-cape/8316/116987797</t>
  </si>
  <si>
    <t>https://www.property24.com/to-rent/fairview/gqeberha/eastern-cape/8316/116933685</t>
  </si>
  <si>
    <t>16-18 Blackwood Crescent, Fairview, Gqeberha</t>
  </si>
  <si>
    <t>https://www.property24.com/to-rent/fairview/gqeberha/eastern-cape/8316/116917489</t>
  </si>
  <si>
    <t>https://www.property24.com/to-rent/fairview/gqeberha/eastern-cape/8316/116953500</t>
  </si>
  <si>
    <t>Willow Road Business Park, 141 Willow Road, Fairview, Gqeberha</t>
  </si>
  <si>
    <t>16 Blackwood Crescent, Fairview, Gqeberha</t>
  </si>
  <si>
    <t>More Office rates to compare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</si>
</sst>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6" formatCode="_-&quot;R&quot;* #,##0.00_-;\-&quot;R&quot;* #,##0.00_-;_-&quot;R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9" fontId="0" fillId="0" borderId="0" xfId="1" applyFont="1"/>
    <xf numFmtId="9" fontId="0" fillId="0" borderId="2" xfId="1" applyFont="1" applyBorder="1"/>
    <xf numFmtId="0" fontId="0" fillId="0" borderId="5" xfId="0" applyBorder="1"/>
    <xf numFmtId="9" fontId="0" fillId="0" borderId="5" xfId="1" applyFont="1" applyBorder="1"/>
    <xf numFmtId="44" fontId="4" fillId="0" borderId="0" xfId="0" applyNumberFormat="1" applyFont="1"/>
    <xf numFmtId="9" fontId="4" fillId="0" borderId="3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4" borderId="7" xfId="0" applyFont="1" applyFill="1" applyBorder="1"/>
    <xf numFmtId="0" fontId="4" fillId="4" borderId="8" xfId="0" applyFont="1" applyFill="1" applyBorder="1"/>
    <xf numFmtId="9" fontId="4" fillId="4" borderId="8" xfId="1" applyFont="1" applyFill="1" applyBorder="1"/>
    <xf numFmtId="44" fontId="4" fillId="4" borderId="9" xfId="0" applyNumberFormat="1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44" fontId="4" fillId="4" borderId="6" xfId="0" applyNumberFormat="1" applyFont="1" applyFill="1" applyBorder="1"/>
    <xf numFmtId="0" fontId="4" fillId="4" borderId="7" xfId="0" quotePrefix="1" applyFont="1" applyFill="1" applyBorder="1"/>
    <xf numFmtId="9" fontId="4" fillId="4" borderId="9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5" borderId="0" xfId="0" applyFont="1" applyFill="1"/>
    <xf numFmtId="9" fontId="0" fillId="0" borderId="0" xfId="1" applyFont="1" applyBorder="1"/>
    <xf numFmtId="9" fontId="0" fillId="0" borderId="2" xfId="1" quotePrefix="1" applyFont="1" applyBorder="1" applyAlignment="1">
      <alignment horizontal="right"/>
    </xf>
    <xf numFmtId="9" fontId="0" fillId="0" borderId="0" xfId="1" quotePrefix="1" applyFont="1" applyBorder="1" applyAlignment="1">
      <alignment horizontal="right"/>
    </xf>
    <xf numFmtId="9" fontId="0" fillId="0" borderId="5" xfId="1" quotePrefix="1" applyFont="1" applyBorder="1" applyAlignment="1">
      <alignment horizontal="right"/>
    </xf>
    <xf numFmtId="0" fontId="0" fillId="0" borderId="8" xfId="0" applyBorder="1"/>
    <xf numFmtId="44" fontId="4" fillId="0" borderId="9" xfId="0" applyNumberFormat="1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4" borderId="7" xfId="0" applyFont="1" applyFill="1" applyBorder="1" applyAlignment="1">
      <alignment vertical="center"/>
    </xf>
    <xf numFmtId="4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0" fillId="0" borderId="4" xfId="0" applyBorder="1"/>
    <xf numFmtId="44" fontId="0" fillId="0" borderId="6" xfId="0" applyNumberFormat="1" applyBorder="1"/>
    <xf numFmtId="0" fontId="0" fillId="0" borderId="7" xfId="0" applyBorder="1"/>
    <xf numFmtId="44" fontId="0" fillId="0" borderId="3" xfId="0" applyNumberFormat="1" applyBorder="1"/>
    <xf numFmtId="0" fontId="0" fillId="0" borderId="10" xfId="0" applyBorder="1"/>
    <xf numFmtId="44" fontId="0" fillId="0" borderId="11" xfId="0" applyNumberFormat="1" applyBorder="1"/>
    <xf numFmtId="0" fontId="0" fillId="0" borderId="2" xfId="0" applyBorder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0" fillId="0" borderId="5" xfId="0" applyBorder="1" applyAlignment="1">
      <alignment horizontal="left" vertical="center" indent="5"/>
    </xf>
    <xf numFmtId="9" fontId="0" fillId="0" borderId="9" xfId="1" applyFon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2" fillId="2" borderId="7" xfId="2" applyBorder="1"/>
    <xf numFmtId="0" fontId="2" fillId="2" borderId="8" xfId="2" applyBorder="1"/>
    <xf numFmtId="0" fontId="2" fillId="2" borderId="8" xfId="2" applyBorder="1" applyAlignment="1">
      <alignment horizontal="center"/>
    </xf>
    <xf numFmtId="44" fontId="2" fillId="2" borderId="9" xfId="2" applyNumberFormat="1" applyBorder="1"/>
    <xf numFmtId="0" fontId="3" fillId="3" borderId="7" xfId="3" applyBorder="1"/>
    <xf numFmtId="0" fontId="3" fillId="3" borderId="8" xfId="3" applyBorder="1"/>
    <xf numFmtId="0" fontId="3" fillId="3" borderId="8" xfId="3" applyBorder="1" applyAlignment="1">
      <alignment horizontal="center"/>
    </xf>
    <xf numFmtId="44" fontId="3" fillId="3" borderId="9" xfId="3" applyNumberFormat="1" applyBorder="1"/>
    <xf numFmtId="0" fontId="0" fillId="0" borderId="0" xfId="0" quotePrefix="1"/>
    <xf numFmtId="0" fontId="4" fillId="5" borderId="0" xfId="0" applyFont="1" applyFill="1" applyAlignment="1">
      <alignment horizontal="left"/>
    </xf>
    <xf numFmtId="0" fontId="0" fillId="0" borderId="0" xfId="0"/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5" fillId="0" borderId="0" xfId="4"/>
    <xf numFmtId="166" fontId="4" fillId="4" borderId="9" xfId="0" applyNumberFormat="1" applyFont="1" applyFill="1" applyBorder="1"/>
    <xf numFmtId="0" fontId="4" fillId="4" borderId="7" xfId="0" applyFont="1" applyFill="1" applyBorder="1"/>
    <xf numFmtId="0" fontId="4" fillId="4" borderId="8" xfId="0" applyFont="1" applyFill="1" applyBorder="1"/>
  </cellXfs>
  <cellStyles count="5">
    <cellStyle name="Bad" xfId="3" builtinId="27"/>
    <cellStyle name="Good" xfId="2" builtinId="26"/>
    <cellStyle name="Hyperlink" xfId="4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perty24.com/to-rent/fairview/gqeberha/eastern-cape/8316/116987797" TargetMode="External"/><Relationship Id="rId3" Type="http://schemas.openxmlformats.org/officeDocument/2006/relationships/hyperlink" Target="https://www.property24.com/to-rent/fairview/gqeberha/eastern-cape/8316/117019323" TargetMode="External"/><Relationship Id="rId7" Type="http://schemas.openxmlformats.org/officeDocument/2006/relationships/hyperlink" Target="https://www.property24.com/to-rent/fairview/gqeberha/eastern-cape/8316/116979864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property24.com/to-rent/fairview/gqeberha/eastern-cape/8316/116781294" TargetMode="External"/><Relationship Id="rId1" Type="http://schemas.openxmlformats.org/officeDocument/2006/relationships/hyperlink" Target="https://www.property24.com/to-rent/fairview/gqeberha/eastern-cape/8316/116792816" TargetMode="External"/><Relationship Id="rId6" Type="http://schemas.openxmlformats.org/officeDocument/2006/relationships/hyperlink" Target="https://www.property24.com/to-rent/fairview/gqeberha/eastern-cape/8316/116979795" TargetMode="External"/><Relationship Id="rId11" Type="http://schemas.openxmlformats.org/officeDocument/2006/relationships/hyperlink" Target="https://www.property24.com/to-rent/fairview/gqeberha/eastern-cape/8316/116953500" TargetMode="External"/><Relationship Id="rId5" Type="http://schemas.openxmlformats.org/officeDocument/2006/relationships/hyperlink" Target="https://www.property24.com/to-rent/fairview/gqeberha/eastern-cape/8316/116981509" TargetMode="External"/><Relationship Id="rId10" Type="http://schemas.openxmlformats.org/officeDocument/2006/relationships/hyperlink" Target="https://www.property24.com/to-rent/fairview/gqeberha/eastern-cape/8316/116917489" TargetMode="External"/><Relationship Id="rId4" Type="http://schemas.openxmlformats.org/officeDocument/2006/relationships/hyperlink" Target="https://www.property24.com/to-rent/fairview/gqeberha/eastern-cape/8316/116986885" TargetMode="External"/><Relationship Id="rId9" Type="http://schemas.openxmlformats.org/officeDocument/2006/relationships/hyperlink" Target="https://www.property24.com/to-rent/fairview/gqeberha/eastern-cape/8316/116933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E512-4C47-4BF2-BB5E-07F96E1B01D4}">
  <dimension ref="B1:P57"/>
  <sheetViews>
    <sheetView tabSelected="1" workbookViewId="0">
      <selection activeCell="H21" sqref="H21"/>
    </sheetView>
  </sheetViews>
  <sheetFormatPr defaultRowHeight="15" x14ac:dyDescent="0.25"/>
  <cols>
    <col min="1" max="1" width="2.7109375" customWidth="1"/>
    <col min="2" max="2" width="10" customWidth="1"/>
    <col min="3" max="3" width="19.42578125" customWidth="1"/>
    <col min="4" max="4" width="14.140625" customWidth="1"/>
    <col min="5" max="5" width="5.7109375" customWidth="1"/>
    <col min="6" max="6" width="15.140625" bestFit="1" customWidth="1"/>
    <col min="7" max="7" width="3.140625" customWidth="1"/>
    <col min="8" max="8" width="69" bestFit="1" customWidth="1"/>
    <col min="9" max="9" width="16" customWidth="1"/>
    <col min="11" max="11" width="17.5703125" customWidth="1"/>
    <col min="12" max="12" width="77.85546875" bestFit="1" customWidth="1"/>
    <col min="13" max="13" width="10.5703125" customWidth="1"/>
  </cols>
  <sheetData>
    <row r="1" spans="2:13" x14ac:dyDescent="0.25">
      <c r="F1" s="30"/>
    </row>
    <row r="2" spans="2:13" x14ac:dyDescent="0.25">
      <c r="B2" s="31" t="s">
        <v>1</v>
      </c>
      <c r="C2" s="32"/>
      <c r="D2" s="32"/>
      <c r="E2" s="32"/>
      <c r="F2" s="33">
        <v>2500</v>
      </c>
      <c r="H2" s="34" t="s">
        <v>18</v>
      </c>
      <c r="I2" s="35" t="s">
        <v>16</v>
      </c>
      <c r="J2" s="34" t="s">
        <v>15</v>
      </c>
      <c r="K2" s="36" t="s">
        <v>0</v>
      </c>
      <c r="L2" s="34" t="s">
        <v>17</v>
      </c>
    </row>
    <row r="3" spans="2:13" x14ac:dyDescent="0.25">
      <c r="B3" s="37" t="s">
        <v>7</v>
      </c>
      <c r="C3" s="4"/>
      <c r="D3" s="4"/>
      <c r="E3" s="4"/>
      <c r="F3" s="38">
        <v>1900</v>
      </c>
      <c r="H3" t="s">
        <v>21</v>
      </c>
      <c r="I3" s="30">
        <f>K3*J3</f>
        <v>28025</v>
      </c>
      <c r="J3">
        <v>295</v>
      </c>
      <c r="K3" s="6">
        <f>85+10</f>
        <v>95</v>
      </c>
      <c r="L3" s="62" t="s">
        <v>20</v>
      </c>
    </row>
    <row r="4" spans="2:13" x14ac:dyDescent="0.25">
      <c r="B4" s="13" t="s">
        <v>2</v>
      </c>
      <c r="C4" s="14"/>
      <c r="D4" s="14"/>
      <c r="E4" s="14"/>
      <c r="F4" s="15">
        <f>F2*F3</f>
        <v>4750000</v>
      </c>
      <c r="H4" t="s">
        <v>21</v>
      </c>
      <c r="I4" s="30">
        <v>19530</v>
      </c>
      <c r="J4">
        <v>217</v>
      </c>
      <c r="K4" s="6">
        <f>(I4/J4)+10</f>
        <v>100</v>
      </c>
      <c r="L4" s="62" t="s">
        <v>22</v>
      </c>
      <c r="M4" s="1"/>
    </row>
    <row r="5" spans="2:13" x14ac:dyDescent="0.25">
      <c r="B5" s="1"/>
      <c r="C5" s="1"/>
      <c r="D5" s="1"/>
      <c r="E5" s="1"/>
      <c r="F5" s="30"/>
      <c r="H5" t="s">
        <v>49</v>
      </c>
      <c r="I5" s="30">
        <f>K5*J5</f>
        <v>13200</v>
      </c>
      <c r="J5">
        <v>110</v>
      </c>
      <c r="K5" s="6">
        <v>120</v>
      </c>
      <c r="L5" s="62" t="s">
        <v>48</v>
      </c>
      <c r="M5" s="58"/>
    </row>
    <row r="6" spans="2:13" x14ac:dyDescent="0.25">
      <c r="B6" s="31" t="s">
        <v>3</v>
      </c>
      <c r="C6" s="32"/>
      <c r="D6" s="32"/>
      <c r="E6" s="32"/>
      <c r="F6" s="33">
        <f>2*1200</f>
        <v>2400</v>
      </c>
      <c r="H6" t="s">
        <v>51</v>
      </c>
      <c r="I6" s="30">
        <f>K6*J6</f>
        <v>45475</v>
      </c>
      <c r="J6">
        <v>535</v>
      </c>
      <c r="K6" s="6">
        <v>85</v>
      </c>
      <c r="L6" s="62" t="s">
        <v>50</v>
      </c>
      <c r="M6" s="1"/>
    </row>
    <row r="7" spans="2:13" x14ac:dyDescent="0.25">
      <c r="B7" s="37" t="s">
        <v>4</v>
      </c>
      <c r="C7" s="4"/>
      <c r="D7" s="8" t="s">
        <v>6</v>
      </c>
      <c r="E7" s="4"/>
      <c r="F7" s="38">
        <f>13000/1.15</f>
        <v>11304.347826086958</v>
      </c>
      <c r="H7" t="s">
        <v>52</v>
      </c>
      <c r="I7" s="30">
        <f>K7*J7</f>
        <v>22250</v>
      </c>
      <c r="J7">
        <v>178</v>
      </c>
      <c r="K7" s="6">
        <v>125</v>
      </c>
      <c r="L7" s="62" t="s">
        <v>53</v>
      </c>
      <c r="M7" s="58"/>
    </row>
    <row r="8" spans="2:13" x14ac:dyDescent="0.25">
      <c r="B8" s="39" t="s">
        <v>45</v>
      </c>
      <c r="C8" s="24"/>
      <c r="D8" s="24"/>
      <c r="E8" s="24"/>
      <c r="F8" s="25" t="s">
        <v>44</v>
      </c>
      <c r="H8" t="s">
        <v>55</v>
      </c>
      <c r="I8" s="30">
        <f>K8*J8</f>
        <v>80000</v>
      </c>
      <c r="J8">
        <v>1000</v>
      </c>
      <c r="K8" s="6">
        <v>80</v>
      </c>
      <c r="L8" s="62" t="s">
        <v>54</v>
      </c>
      <c r="M8" s="58"/>
    </row>
    <row r="9" spans="2:13" x14ac:dyDescent="0.25">
      <c r="B9" s="9" t="s">
        <v>5</v>
      </c>
      <c r="C9" s="10"/>
      <c r="D9" s="10"/>
      <c r="E9" s="10"/>
      <c r="F9" s="12">
        <f>F6*F7</f>
        <v>27130434.782608699</v>
      </c>
      <c r="H9" t="s">
        <v>56</v>
      </c>
      <c r="I9" s="30">
        <f>K9*J9</f>
        <v>25200</v>
      </c>
      <c r="J9">
        <v>280</v>
      </c>
      <c r="K9" s="6">
        <v>90</v>
      </c>
      <c r="L9" s="62" t="s">
        <v>57</v>
      </c>
    </row>
    <row r="10" spans="2:13" x14ac:dyDescent="0.25">
      <c r="F10" s="30"/>
      <c r="H10" t="s">
        <v>60</v>
      </c>
      <c r="I10" s="30">
        <v>37550</v>
      </c>
      <c r="J10">
        <v>340</v>
      </c>
      <c r="K10" s="6">
        <f>I10/J10</f>
        <v>110.44117647058823</v>
      </c>
      <c r="L10" s="62" t="s">
        <v>58</v>
      </c>
    </row>
    <row r="11" spans="2:13" x14ac:dyDescent="0.25">
      <c r="B11" s="31" t="s">
        <v>43</v>
      </c>
      <c r="C11" s="32"/>
      <c r="D11" s="32"/>
      <c r="E11" s="3">
        <v>0.05</v>
      </c>
      <c r="F11" s="40">
        <f>F9*E11</f>
        <v>1356521.739130435</v>
      </c>
      <c r="H11" t="s">
        <v>64</v>
      </c>
      <c r="I11" s="30">
        <v>41900</v>
      </c>
      <c r="J11">
        <v>370</v>
      </c>
      <c r="K11" s="6">
        <f>I11/J11</f>
        <v>113.24324324324324</v>
      </c>
      <c r="L11" s="62" t="s">
        <v>61</v>
      </c>
    </row>
    <row r="12" spans="2:13" x14ac:dyDescent="0.25">
      <c r="B12" s="41" t="s">
        <v>42</v>
      </c>
      <c r="E12" s="20">
        <v>0.02</v>
      </c>
      <c r="F12" s="42">
        <f>F9*E12</f>
        <v>542608.69565217395</v>
      </c>
      <c r="H12" t="s">
        <v>63</v>
      </c>
      <c r="I12" s="30">
        <f>J12*K12</f>
        <v>64885</v>
      </c>
      <c r="J12">
        <v>683</v>
      </c>
      <c r="K12" s="6">
        <v>95</v>
      </c>
      <c r="L12" s="62" t="s">
        <v>62</v>
      </c>
    </row>
    <row r="13" spans="2:13" x14ac:dyDescent="0.25">
      <c r="B13" s="37" t="s">
        <v>33</v>
      </c>
      <c r="C13" s="4"/>
      <c r="D13" s="4"/>
      <c r="E13" s="4"/>
      <c r="F13" s="38">
        <f>21000</f>
        <v>21000</v>
      </c>
    </row>
    <row r="14" spans="2:13" x14ac:dyDescent="0.25">
      <c r="B14" s="9" t="s">
        <v>34</v>
      </c>
      <c r="C14" s="10"/>
      <c r="D14" s="10"/>
      <c r="E14" s="11"/>
      <c r="F14" s="12">
        <f>SUM(F11:F13)</f>
        <v>1920130.4347826089</v>
      </c>
    </row>
    <row r="15" spans="2:13" x14ac:dyDescent="0.25">
      <c r="E15" s="2"/>
      <c r="F15" s="30"/>
    </row>
    <row r="16" spans="2:13" x14ac:dyDescent="0.25">
      <c r="B16" s="26" t="s">
        <v>35</v>
      </c>
      <c r="C16" s="32"/>
      <c r="D16" s="43"/>
      <c r="E16" s="21" t="s">
        <v>39</v>
      </c>
      <c r="F16" s="40">
        <v>2500</v>
      </c>
    </row>
    <row r="17" spans="2:16" x14ac:dyDescent="0.25">
      <c r="B17" s="27" t="s">
        <v>36</v>
      </c>
      <c r="D17" s="44"/>
      <c r="E17" s="22" t="s">
        <v>39</v>
      </c>
      <c r="F17" s="42">
        <v>120000</v>
      </c>
    </row>
    <row r="18" spans="2:16" x14ac:dyDescent="0.25">
      <c r="B18" s="27" t="s">
        <v>37</v>
      </c>
      <c r="D18" s="44"/>
      <c r="E18" s="22" t="s">
        <v>39</v>
      </c>
      <c r="F18" s="42">
        <v>40000</v>
      </c>
    </row>
    <row r="19" spans="2:16" x14ac:dyDescent="0.25">
      <c r="B19" s="28" t="s">
        <v>38</v>
      </c>
      <c r="C19" s="4"/>
      <c r="D19" s="45"/>
      <c r="E19" s="23" t="s">
        <v>39</v>
      </c>
      <c r="F19" s="38">
        <v>130000</v>
      </c>
    </row>
    <row r="20" spans="2:16" x14ac:dyDescent="0.25">
      <c r="B20" s="29" t="s">
        <v>40</v>
      </c>
      <c r="C20" s="10"/>
      <c r="D20" s="10"/>
      <c r="E20" s="11"/>
      <c r="F20" s="12">
        <f>SUM(F16:F19)</f>
        <v>292500</v>
      </c>
    </row>
    <row r="21" spans="2:16" x14ac:dyDescent="0.25">
      <c r="E21" s="2"/>
      <c r="F21" s="30"/>
    </row>
    <row r="22" spans="2:16" x14ac:dyDescent="0.25">
      <c r="B22" s="31" t="s">
        <v>2</v>
      </c>
      <c r="C22" s="32"/>
      <c r="D22" s="32"/>
      <c r="E22" s="3"/>
      <c r="F22" s="40">
        <f>F4</f>
        <v>4750000</v>
      </c>
    </row>
    <row r="23" spans="2:16" x14ac:dyDescent="0.25">
      <c r="B23" s="41" t="s">
        <v>5</v>
      </c>
      <c r="E23" s="20"/>
      <c r="F23" s="42">
        <f>F9</f>
        <v>27130434.782608699</v>
      </c>
    </row>
    <row r="24" spans="2:16" x14ac:dyDescent="0.25">
      <c r="B24" s="41" t="s">
        <v>34</v>
      </c>
      <c r="E24" s="20"/>
      <c r="F24" s="42">
        <f>F14</f>
        <v>1920130.4347826089</v>
      </c>
      <c r="H24" s="59" t="s">
        <v>65</v>
      </c>
      <c r="I24" s="60" t="s">
        <v>16</v>
      </c>
      <c r="J24" s="59" t="s">
        <v>15</v>
      </c>
      <c r="K24" s="61" t="s">
        <v>0</v>
      </c>
      <c r="L24" s="59" t="s">
        <v>17</v>
      </c>
    </row>
    <row r="25" spans="2:16" x14ac:dyDescent="0.25">
      <c r="B25" s="37" t="s">
        <v>40</v>
      </c>
      <c r="C25" s="4"/>
      <c r="D25" s="4"/>
      <c r="E25" s="5"/>
      <c r="F25" s="38">
        <f>F20</f>
        <v>292500</v>
      </c>
      <c r="H25" s="58"/>
      <c r="I25" s="58"/>
      <c r="J25" s="58">
        <v>135</v>
      </c>
      <c r="K25" s="6">
        <v>120</v>
      </c>
      <c r="L25" s="62" t="s">
        <v>59</v>
      </c>
      <c r="M25" s="58"/>
      <c r="N25" s="58"/>
      <c r="O25" s="58"/>
      <c r="P25" s="58"/>
    </row>
    <row r="26" spans="2:16" x14ac:dyDescent="0.25">
      <c r="B26" s="9" t="s">
        <v>41</v>
      </c>
      <c r="C26" s="10"/>
      <c r="D26" s="10"/>
      <c r="E26" s="10"/>
      <c r="F26" s="12">
        <f>SUM(F22:F25)</f>
        <v>34093065.217391305</v>
      </c>
    </row>
    <row r="28" spans="2:16" x14ac:dyDescent="0.25">
      <c r="B28" s="64" t="s">
        <v>46</v>
      </c>
      <c r="C28" s="65"/>
      <c r="D28" s="65">
        <f>F6</f>
        <v>2400</v>
      </c>
      <c r="E28" s="65" t="s">
        <v>47</v>
      </c>
      <c r="F28" s="63">
        <f>F26/D28</f>
        <v>14205.44384057971</v>
      </c>
    </row>
    <row r="30" spans="2:16" x14ac:dyDescent="0.25">
      <c r="B30" s="31" t="s">
        <v>24</v>
      </c>
      <c r="C30" s="32"/>
      <c r="D30" s="32"/>
      <c r="E30" s="32"/>
      <c r="F30" s="7">
        <v>0.1</v>
      </c>
    </row>
    <row r="31" spans="2:16" x14ac:dyDescent="0.25">
      <c r="B31" s="9" t="s">
        <v>8</v>
      </c>
      <c r="C31" s="10"/>
      <c r="D31" s="10"/>
      <c r="E31" s="10"/>
      <c r="F31" s="12">
        <f>F26*F30</f>
        <v>3409306.5217391308</v>
      </c>
    </row>
    <row r="33" spans="2:8" x14ac:dyDescent="0.25">
      <c r="B33" s="39" t="s">
        <v>9</v>
      </c>
      <c r="C33" s="24"/>
      <c r="D33" s="24"/>
      <c r="E33" s="24"/>
      <c r="F33" s="46"/>
      <c r="H33" t="s">
        <v>23</v>
      </c>
    </row>
    <row r="34" spans="2:8" x14ac:dyDescent="0.25">
      <c r="B34" s="16" t="s">
        <v>10</v>
      </c>
      <c r="C34" s="10"/>
      <c r="D34" s="10"/>
      <c r="E34" s="10"/>
      <c r="F34" s="17">
        <v>0.08</v>
      </c>
    </row>
    <row r="36" spans="2:8" x14ac:dyDescent="0.25">
      <c r="B36" s="31" t="s">
        <v>11</v>
      </c>
      <c r="C36" s="32"/>
      <c r="D36" s="32"/>
      <c r="E36" s="32"/>
      <c r="F36" s="47">
        <f>1-F34</f>
        <v>0.92</v>
      </c>
    </row>
    <row r="37" spans="2:8" x14ac:dyDescent="0.25">
      <c r="B37" s="37" t="s">
        <v>8</v>
      </c>
      <c r="C37" s="4"/>
      <c r="D37" s="4"/>
      <c r="E37" s="4"/>
      <c r="F37" s="38">
        <f>F31</f>
        <v>3409306.5217391308</v>
      </c>
    </row>
    <row r="38" spans="2:8" x14ac:dyDescent="0.25">
      <c r="B38" s="9" t="s">
        <v>12</v>
      </c>
      <c r="C38" s="10"/>
      <c r="D38" s="10"/>
      <c r="E38" s="10"/>
      <c r="F38" s="12">
        <f>F37/F36</f>
        <v>3705767.9584120987</v>
      </c>
    </row>
    <row r="40" spans="2:8" x14ac:dyDescent="0.25">
      <c r="B40" s="9" t="s">
        <v>13</v>
      </c>
      <c r="C40" s="10"/>
      <c r="D40" s="10"/>
      <c r="E40" s="18"/>
      <c r="F40" s="12">
        <f>F38/12</f>
        <v>308813.99653434154</v>
      </c>
    </row>
    <row r="41" spans="2:8" x14ac:dyDescent="0.25">
      <c r="B41" s="1"/>
      <c r="F41" s="30"/>
    </row>
    <row r="42" spans="2:8" x14ac:dyDescent="0.25">
      <c r="B42" s="48" t="s">
        <v>14</v>
      </c>
      <c r="C42" s="49"/>
      <c r="D42" s="50" t="s">
        <v>6</v>
      </c>
      <c r="E42" s="49"/>
      <c r="F42" s="51">
        <f>F40/F6</f>
        <v>128.67249855597564</v>
      </c>
    </row>
    <row r="43" spans="2:8" x14ac:dyDescent="0.25">
      <c r="B43" s="1"/>
      <c r="F43" s="30"/>
    </row>
    <row r="44" spans="2:8" x14ac:dyDescent="0.25">
      <c r="B44" s="52" t="s">
        <v>19</v>
      </c>
      <c r="C44" s="53"/>
      <c r="D44" s="54" t="s">
        <v>6</v>
      </c>
      <c r="E44" s="53"/>
      <c r="F44" s="55">
        <f>AVERAGE(K3:K14)</f>
        <v>101.36844197138315</v>
      </c>
      <c r="H44" s="30"/>
    </row>
    <row r="50" spans="3:3" x14ac:dyDescent="0.25">
      <c r="C50" s="56"/>
    </row>
    <row r="51" spans="3:3" x14ac:dyDescent="0.25">
      <c r="C51" s="56"/>
    </row>
    <row r="56" spans="3:3" x14ac:dyDescent="0.25">
      <c r="C56" s="56"/>
    </row>
    <row r="57" spans="3:3" x14ac:dyDescent="0.25">
      <c r="C57" s="56"/>
    </row>
  </sheetData>
  <hyperlinks>
    <hyperlink ref="L3" r:id="rId1" xr:uid="{45C3C054-3B92-431B-AA82-E09E2FD9E7CF}"/>
    <hyperlink ref="L4" r:id="rId2" xr:uid="{C4241B5A-F48C-4B2B-8D13-8410A101A9C4}"/>
    <hyperlink ref="L5" r:id="rId3" xr:uid="{9D8C511A-9682-4FCB-8866-910D4930C77F}"/>
    <hyperlink ref="L6" r:id="rId4" xr:uid="{C1904634-934C-487E-A826-C9E7CACE0772}"/>
    <hyperlink ref="L7" r:id="rId5" xr:uid="{32419C42-CEAE-4C9D-A0F3-1377FD97C1FE}"/>
    <hyperlink ref="L8" r:id="rId6" xr:uid="{05429DF6-2CD8-4682-94D4-05E6B1011478}"/>
    <hyperlink ref="L9" r:id="rId7" xr:uid="{E6F71A37-2D23-4D04-A4AA-1247C8D36C3B}"/>
    <hyperlink ref="L10" r:id="rId8" xr:uid="{E3DEB3EA-1F8B-41A4-8E7F-31B37D59C82B}"/>
    <hyperlink ref="L25" r:id="rId9" xr:uid="{9C2C33F8-DE65-4205-BE61-5B2D1ACBB7D9}"/>
    <hyperlink ref="L11" r:id="rId10" xr:uid="{404CB4A8-59CC-49DA-A946-2C41CA8C30D2}"/>
    <hyperlink ref="L12" r:id="rId11" xr:uid="{A76051D4-8AE0-4B8F-84DC-413D6A6C8C2D}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F16B-89DD-4D65-BC8A-756F37486531}">
  <dimension ref="B2:E28"/>
  <sheetViews>
    <sheetView workbookViewId="0">
      <selection activeCell="D28" sqref="D28"/>
    </sheetView>
  </sheetViews>
  <sheetFormatPr defaultRowHeight="15" x14ac:dyDescent="0.25"/>
  <cols>
    <col min="1" max="1" width="3.28515625" customWidth="1"/>
    <col min="2" max="2" width="17.28515625" customWidth="1"/>
    <col min="4" max="4" width="12" bestFit="1" customWidth="1"/>
    <col min="5" max="5" width="12.7109375" bestFit="1" customWidth="1"/>
    <col min="6" max="6" width="4.42578125" customWidth="1"/>
    <col min="7" max="7" width="12.7109375" bestFit="1" customWidth="1"/>
  </cols>
  <sheetData>
    <row r="2" spans="2:5" x14ac:dyDescent="0.25">
      <c r="B2" s="57" t="s">
        <v>30</v>
      </c>
      <c r="C2" s="57"/>
      <c r="D2" s="57"/>
      <c r="E2" s="57"/>
    </row>
    <row r="3" spans="2:5" x14ac:dyDescent="0.25">
      <c r="B3" s="8" t="s">
        <v>28</v>
      </c>
      <c r="C3" s="8" t="s">
        <v>27</v>
      </c>
      <c r="D3" s="8" t="s">
        <v>25</v>
      </c>
      <c r="E3" s="8" t="s">
        <v>26</v>
      </c>
    </row>
    <row r="4" spans="2:5" x14ac:dyDescent="0.25">
      <c r="B4">
        <v>910</v>
      </c>
      <c r="C4">
        <f>B4*2</f>
        <v>1820</v>
      </c>
      <c r="D4">
        <v>30732</v>
      </c>
      <c r="E4">
        <v>13000</v>
      </c>
    </row>
    <row r="6" spans="2:5" x14ac:dyDescent="0.25">
      <c r="B6" s="4"/>
      <c r="C6" s="8" t="s">
        <v>29</v>
      </c>
      <c r="D6" s="8" t="s">
        <v>32</v>
      </c>
      <c r="E6" s="8" t="s">
        <v>31</v>
      </c>
    </row>
    <row r="7" spans="2:5" x14ac:dyDescent="0.25">
      <c r="B7" s="19" t="s">
        <v>25</v>
      </c>
      <c r="C7">
        <f>D4/C4</f>
        <v>16.885714285714286</v>
      </c>
      <c r="D7">
        <v>2400</v>
      </c>
    </row>
    <row r="8" spans="2:5" x14ac:dyDescent="0.25">
      <c r="D8">
        <f>C7*D7</f>
        <v>40525.71428571429</v>
      </c>
      <c r="E8">
        <v>2018</v>
      </c>
    </row>
    <row r="9" spans="2:5" x14ac:dyDescent="0.25">
      <c r="D9">
        <f>D8*1.1</f>
        <v>44578.285714285725</v>
      </c>
      <c r="E9">
        <v>2019</v>
      </c>
    </row>
    <row r="10" spans="2:5" x14ac:dyDescent="0.25">
      <c r="D10">
        <f>D9*1.15</f>
        <v>51265.028571428578</v>
      </c>
      <c r="E10">
        <v>2020</v>
      </c>
    </row>
    <row r="11" spans="2:5" x14ac:dyDescent="0.25">
      <c r="D11">
        <f t="shared" ref="D11:D16" si="0">D10*1.15</f>
        <v>58954.782857142862</v>
      </c>
      <c r="E11">
        <v>2021</v>
      </c>
    </row>
    <row r="12" spans="2:5" x14ac:dyDescent="0.25">
      <c r="D12">
        <f t="shared" si="0"/>
        <v>67798.000285714283</v>
      </c>
      <c r="E12">
        <v>2022</v>
      </c>
    </row>
    <row r="13" spans="2:5" x14ac:dyDescent="0.25">
      <c r="D13">
        <f t="shared" si="0"/>
        <v>77967.700328571416</v>
      </c>
      <c r="E13">
        <v>2023</v>
      </c>
    </row>
    <row r="14" spans="2:5" x14ac:dyDescent="0.25">
      <c r="D14">
        <f t="shared" si="0"/>
        <v>89662.855377857122</v>
      </c>
      <c r="E14">
        <v>2024</v>
      </c>
    </row>
    <row r="15" spans="2:5" x14ac:dyDescent="0.25">
      <c r="D15">
        <f t="shared" si="0"/>
        <v>103112.28368453568</v>
      </c>
      <c r="E15">
        <v>2025</v>
      </c>
    </row>
    <row r="16" spans="2:5" x14ac:dyDescent="0.25">
      <c r="D16">
        <f t="shared" si="0"/>
        <v>118579.12623721603</v>
      </c>
      <c r="E16">
        <v>2026</v>
      </c>
    </row>
    <row r="18" spans="2:5" x14ac:dyDescent="0.25">
      <c r="B18" s="4"/>
      <c r="C18" s="8" t="s">
        <v>29</v>
      </c>
      <c r="D18" s="8" t="s">
        <v>32</v>
      </c>
      <c r="E18" s="8" t="s">
        <v>31</v>
      </c>
    </row>
    <row r="19" spans="2:5" x14ac:dyDescent="0.25">
      <c r="B19" s="19" t="s">
        <v>26</v>
      </c>
      <c r="C19">
        <f>E4/C4</f>
        <v>7.1428571428571432</v>
      </c>
      <c r="D19">
        <v>2400</v>
      </c>
    </row>
    <row r="20" spans="2:5" x14ac:dyDescent="0.25">
      <c r="D20">
        <f>C19*D19</f>
        <v>17142.857142857145</v>
      </c>
      <c r="E20">
        <v>2018</v>
      </c>
    </row>
    <row r="21" spans="2:5" x14ac:dyDescent="0.25">
      <c r="D21">
        <f>D20*1.1</f>
        <v>18857.142857142862</v>
      </c>
      <c r="E21">
        <v>2019</v>
      </c>
    </row>
    <row r="22" spans="2:5" x14ac:dyDescent="0.25">
      <c r="D22">
        <f t="shared" ref="D22:D28" si="1">D21*1.1</f>
        <v>20742.857142857149</v>
      </c>
      <c r="E22">
        <v>2020</v>
      </c>
    </row>
    <row r="23" spans="2:5" x14ac:dyDescent="0.25">
      <c r="D23">
        <f t="shared" si="1"/>
        <v>22817.142857142866</v>
      </c>
      <c r="E23">
        <v>2021</v>
      </c>
    </row>
    <row r="24" spans="2:5" x14ac:dyDescent="0.25">
      <c r="D24">
        <f t="shared" si="1"/>
        <v>25098.857142857156</v>
      </c>
      <c r="E24">
        <v>2022</v>
      </c>
    </row>
    <row r="25" spans="2:5" x14ac:dyDescent="0.25">
      <c r="D25">
        <f t="shared" si="1"/>
        <v>27608.742857142875</v>
      </c>
      <c r="E25">
        <v>2023</v>
      </c>
    </row>
    <row r="26" spans="2:5" x14ac:dyDescent="0.25">
      <c r="D26">
        <f t="shared" si="1"/>
        <v>30369.617142857165</v>
      </c>
      <c r="E26">
        <v>2024</v>
      </c>
    </row>
    <row r="27" spans="2:5" x14ac:dyDescent="0.25">
      <c r="D27">
        <f t="shared" si="1"/>
        <v>33406.578857142886</v>
      </c>
      <c r="E27">
        <v>2025</v>
      </c>
    </row>
    <row r="28" spans="2:5" x14ac:dyDescent="0.25">
      <c r="D28">
        <f t="shared" si="1"/>
        <v>36747.236742857174</v>
      </c>
      <c r="E28">
        <v>2026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Erf 4095_Fairview</vt:lpstr>
      <vt:lpstr>TDL_Sewer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2026-02-02T11:16:18Z</dcterms:created>
  <dcterms:modified xsi:type="dcterms:W3CDTF">2026-03-17T13:46:36Z</dcterms:modified>
</cp:coreProperties>
</file>