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6\x008 - Daniel (Possible sites)\809_Walmer\"/>
    </mc:Choice>
  </mc:AlternateContent>
  <xr:revisionPtr revIDLastSave="0" documentId="13_ncr:1_{3EBA91A5-62AC-47F9-BD15-0004F001E770}" xr6:coauthVersionLast="47" xr6:coauthVersionMax="47" xr10:uidLastSave="{00000000-0000-0000-0000-000000000000}"/>
  <bookViews>
    <workbookView xWindow="-120" yWindow="-120" windowWidth="29040" windowHeight="15720" activeTab="1" xr2:uid="{17838A8F-6213-4D15-B626-2AD819BF63B3}"/>
  </bookViews>
  <sheets>
    <sheet name="809_Walmer" sheetId="5" r:id="rId1"/>
    <sheet name="Forecast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7" l="1"/>
  <c r="B8" i="7" s="1"/>
  <c r="C8" i="7" s="1"/>
  <c r="C2" i="7"/>
  <c r="C5" i="7" l="1"/>
  <c r="B9" i="7"/>
  <c r="B10" i="7" s="1"/>
  <c r="B11" i="7" s="1"/>
  <c r="B12" i="7" s="1"/>
  <c r="B13" i="7" s="1"/>
  <c r="B14" i="7" s="1"/>
  <c r="B15" i="7" s="1"/>
  <c r="B16" i="7" s="1"/>
  <c r="B17" i="7" s="1"/>
  <c r="C9" i="7" l="1"/>
  <c r="C10" i="7" s="1"/>
  <c r="C11" i="7" s="1"/>
  <c r="C12" i="7" s="1"/>
  <c r="C13" i="7" s="1"/>
  <c r="C14" i="7" s="1"/>
  <c r="C15" i="7" s="1"/>
  <c r="C16" i="7" s="1"/>
  <c r="C17" i="7" s="1"/>
  <c r="K5" i="5" l="1"/>
  <c r="F7" i="5"/>
  <c r="F9" i="5" s="1"/>
  <c r="F39" i="5"/>
  <c r="D31" i="5"/>
  <c r="F25" i="5"/>
  <c r="F23" i="5"/>
  <c r="F28" i="5" s="1"/>
  <c r="K4" i="5"/>
  <c r="I3" i="5"/>
  <c r="K3" i="5" s="1"/>
  <c r="F47" i="5" s="1"/>
  <c r="F3" i="5"/>
  <c r="F26" i="5" l="1"/>
  <c r="F12" i="5"/>
  <c r="F11" i="5"/>
  <c r="F15" i="5" l="1"/>
  <c r="F27" i="5" s="1"/>
  <c r="F29" i="5" s="1"/>
  <c r="F34" i="5" s="1"/>
  <c r="F40" i="5" s="1"/>
  <c r="F41" i="5" s="1"/>
  <c r="F43" i="5" s="1"/>
  <c r="F45" i="5" s="1"/>
  <c r="F51" i="5" l="1"/>
  <c r="F50" i="5"/>
  <c r="F52" i="5"/>
  <c r="F31" i="5"/>
  <c r="F53" i="5" l="1"/>
</calcChain>
</file>

<file path=xl/sharedStrings.xml><?xml version="1.0" encoding="utf-8"?>
<sst xmlns="http://schemas.openxmlformats.org/spreadsheetml/2006/main" count="80" uniqueCount="65">
  <si>
    <t>R per sqm</t>
  </si>
  <si>
    <t>Erf size (sqm):</t>
  </si>
  <si>
    <t>Purchase price:</t>
  </si>
  <si>
    <t>Total building (sqm):</t>
  </si>
  <si>
    <t>Building rate:</t>
  </si>
  <si>
    <t>Build cost:</t>
  </si>
  <si>
    <t>Ex. VAT</t>
  </si>
  <si>
    <t>Rate per sqm:</t>
  </si>
  <si>
    <t>Required income</t>
  </si>
  <si>
    <t>Operation costs:</t>
  </si>
  <si>
    <t xml:space="preserve"> - Rates, insurance, vacancies, maintenance</t>
  </si>
  <si>
    <t>Required gross rental income</t>
  </si>
  <si>
    <t>Gross Rent (per year):</t>
  </si>
  <si>
    <t>Monthly Rental</t>
  </si>
  <si>
    <t>sqm</t>
  </si>
  <si>
    <t>Rent</t>
  </si>
  <si>
    <t>Link</t>
  </si>
  <si>
    <t>Precedent rate calculations:</t>
  </si>
  <si>
    <t>Precedent Rates</t>
  </si>
  <si>
    <t>Target yield/Profit (per year)</t>
  </si>
  <si>
    <t>Architectural fees (Design, SDP, Municipal, etc)</t>
  </si>
  <si>
    <t>Surveyor fees (Consolidation, Survey, etc)</t>
  </si>
  <si>
    <t>Professional Fees:</t>
  </si>
  <si>
    <t xml:space="preserve">Site development submission fees </t>
  </si>
  <si>
    <t>+-</t>
  </si>
  <si>
    <t xml:space="preserve">Transportation and development levi </t>
  </si>
  <si>
    <t xml:space="preserve">Sewer development levi </t>
  </si>
  <si>
    <t xml:space="preserve">Municipal submission fees </t>
  </si>
  <si>
    <t>Submission related fees:</t>
  </si>
  <si>
    <t>Build Duration:</t>
  </si>
  <si>
    <t>Total investment</t>
  </si>
  <si>
    <t>https://www.property24.com/to-rent/pinelands/gqeberha/eastern-cape/6933/111535688</t>
  </si>
  <si>
    <t>26 Tokai in Port Elizabeth, Pinelands, Gqeberha</t>
  </si>
  <si>
    <t>New drainage connection</t>
  </si>
  <si>
    <t>Comments</t>
  </si>
  <si>
    <t>Ground unit</t>
  </si>
  <si>
    <t>https://www.property24.com/to-rent/walmer/gqeberha/eastern-cape/8341/116875966</t>
  </si>
  <si>
    <t>2 Bedroom Apartment / Flat to Rent in Walmer</t>
  </si>
  <si>
    <t>Departure of building lines</t>
  </si>
  <si>
    <t>8 Months</t>
  </si>
  <si>
    <t>Structural/Civil engineering</t>
  </si>
  <si>
    <t>Development cost per M2</t>
  </si>
  <si>
    <t>m2</t>
  </si>
  <si>
    <t>No Yard + 1 Bathroom</t>
  </si>
  <si>
    <t>Ground Floor units (2 x Bedroom, 2 x Bathrooms)</t>
  </si>
  <si>
    <t>Front yard</t>
  </si>
  <si>
    <t>Service yard</t>
  </si>
  <si>
    <t>Build rate per sqm</t>
  </si>
  <si>
    <t>Per Unit sale price:</t>
  </si>
  <si>
    <t>Units:</t>
  </si>
  <si>
    <t>Weight:</t>
  </si>
  <si>
    <t>m2:</t>
  </si>
  <si>
    <t>Totals</t>
  </si>
  <si>
    <t>Possible monthly rental per unit</t>
  </si>
  <si>
    <t>This covers the build cost and includes profits</t>
  </si>
  <si>
    <t>This is an luxury over and above the Yield</t>
  </si>
  <si>
    <t>Tokai in Port Elizabeth, Pinelands, Gqeberha</t>
  </si>
  <si>
    <t>https://www.property24.com/to-rent/lorraine/gqeberha/eastern-cape/8324/116875354</t>
  </si>
  <si>
    <t>Total Investment:</t>
  </si>
  <si>
    <t>Year 1 Gross Rent:</t>
  </si>
  <si>
    <t>Forecast (escalation):</t>
  </si>
  <si>
    <t>Break-even (Year/Months):</t>
  </si>
  <si>
    <t>Year</t>
  </si>
  <si>
    <t>Annual Rent</t>
  </si>
  <si>
    <t>Cumulative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</si>
</sst>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44" fontId="0" fillId="0" borderId="0" xfId="0" applyNumberFormat="1"/>
    <xf numFmtId="44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44" fontId="4" fillId="0" borderId="6" xfId="0" applyNumberFormat="1" applyFont="1" applyBorder="1"/>
    <xf numFmtId="0" fontId="0" fillId="0" borderId="7" xfId="0" applyBorder="1"/>
    <xf numFmtId="44" fontId="0" fillId="0" borderId="6" xfId="0" applyNumberFormat="1" applyBorder="1"/>
    <xf numFmtId="0" fontId="0" fillId="0" borderId="3" xfId="0" applyBorder="1" applyAlignment="1">
      <alignment horizontal="center"/>
    </xf>
    <xf numFmtId="9" fontId="1" fillId="0" borderId="9" xfId="1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5" fillId="0" borderId="0" xfId="4"/>
    <xf numFmtId="9" fontId="4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2" fillId="2" borderId="9" xfId="2" applyNumberFormat="1" applyBorder="1"/>
    <xf numFmtId="0" fontId="3" fillId="3" borderId="7" xfId="3" applyBorder="1"/>
    <xf numFmtId="0" fontId="3" fillId="3" borderId="8" xfId="3" applyBorder="1"/>
    <xf numFmtId="0" fontId="3" fillId="3" borderId="8" xfId="3" applyBorder="1" applyAlignment="1">
      <alignment horizontal="center"/>
    </xf>
    <xf numFmtId="44" fontId="3" fillId="3" borderId="9" xfId="3" applyNumberFormat="1" applyBorder="1"/>
    <xf numFmtId="0" fontId="2" fillId="2" borderId="7" xfId="2" applyBorder="1"/>
    <xf numFmtId="0" fontId="2" fillId="2" borderId="8" xfId="2" applyBorder="1"/>
    <xf numFmtId="0" fontId="2" fillId="2" borderId="8" xfId="2" applyBorder="1" applyAlignment="1">
      <alignment horizontal="center"/>
    </xf>
    <xf numFmtId="44" fontId="0" fillId="0" borderId="11" xfId="0" applyNumberFormat="1" applyBorder="1"/>
    <xf numFmtId="44" fontId="4" fillId="4" borderId="9" xfId="0" applyNumberFormat="1" applyFont="1" applyFill="1" applyBorder="1"/>
    <xf numFmtId="44" fontId="0" fillId="0" borderId="3" xfId="0" applyNumberFormat="1" applyBorder="1"/>
    <xf numFmtId="9" fontId="0" fillId="0" borderId="2" xfId="1" applyFont="1" applyBorder="1"/>
    <xf numFmtId="9" fontId="0" fillId="0" borderId="5" xfId="1" applyFont="1" applyBorder="1"/>
    <xf numFmtId="0" fontId="4" fillId="4" borderId="7" xfId="0" applyFont="1" applyFill="1" applyBorder="1"/>
    <xf numFmtId="0" fontId="4" fillId="4" borderId="8" xfId="0" applyFont="1" applyFill="1" applyBorder="1"/>
    <xf numFmtId="9" fontId="4" fillId="4" borderId="8" xfId="1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7" xfId="0" quotePrefix="1" applyFont="1" applyFill="1" applyBorder="1"/>
    <xf numFmtId="9" fontId="4" fillId="4" borderId="9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9" fontId="0" fillId="0" borderId="0" xfId="1" applyFont="1" applyBorder="1"/>
    <xf numFmtId="9" fontId="0" fillId="0" borderId="2" xfId="1" quotePrefix="1" applyFont="1" applyBorder="1" applyAlignment="1">
      <alignment horizontal="right"/>
    </xf>
    <xf numFmtId="9" fontId="0" fillId="0" borderId="0" xfId="1" quotePrefix="1" applyFont="1" applyBorder="1" applyAlignment="1">
      <alignment horizontal="right"/>
    </xf>
    <xf numFmtId="9" fontId="0" fillId="0" borderId="5" xfId="1" quotePrefix="1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0" fillId="0" borderId="10" xfId="0" applyBorder="1"/>
    <xf numFmtId="0" fontId="0" fillId="0" borderId="2" xfId="0" applyBorder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5" xfId="0" applyBorder="1" applyAlignment="1">
      <alignment horizontal="left" vertical="center" indent="5"/>
    </xf>
    <xf numFmtId="44" fontId="4" fillId="0" borderId="9" xfId="0" applyNumberFormat="1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44" fontId="4" fillId="4" borderId="6" xfId="0" applyNumberFormat="1" applyFont="1" applyFill="1" applyBorder="1"/>
    <xf numFmtId="9" fontId="0" fillId="0" borderId="0" xfId="0" applyNumberFormat="1"/>
    <xf numFmtId="0" fontId="0" fillId="4" borderId="8" xfId="0" applyFill="1" applyBorder="1"/>
    <xf numFmtId="44" fontId="4" fillId="0" borderId="3" xfId="0" applyNumberFormat="1" applyFont="1" applyBorder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8" xfId="0" quotePrefix="1" applyFont="1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5" xfId="0" applyNumberFormat="1" applyBorder="1"/>
    <xf numFmtId="0" fontId="4" fillId="0" borderId="1" xfId="0" applyFont="1" applyBorder="1"/>
    <xf numFmtId="0" fontId="4" fillId="0" borderId="2" xfId="0" applyFont="1" applyBorder="1"/>
    <xf numFmtId="9" fontId="4" fillId="0" borderId="2" xfId="0" applyNumberFormat="1" applyFont="1" applyBorder="1"/>
    <xf numFmtId="2" fontId="0" fillId="0" borderId="0" xfId="0" applyNumberFormat="1"/>
    <xf numFmtId="0" fontId="4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164" fontId="0" fillId="0" borderId="0" xfId="0" applyNumberFormat="1"/>
  </cellXfs>
  <cellStyles count="5">
    <cellStyle name="Bad" xfId="3" builtinId="27"/>
    <cellStyle name="Good" xfId="2" builtinId="26"/>
    <cellStyle name="Hyperlink" xfId="4" builtinId="8"/>
    <cellStyle name="Normal" xfId="0" builtinId="0"/>
    <cellStyle name="Percent" xfId="1" builtinId="5"/>
  </cellStyles>
  <dxfs count="2"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to-rent/lorraine/gqeberha/eastern-cape/8324/116875354" TargetMode="External"/><Relationship Id="rId2" Type="http://schemas.openxmlformats.org/officeDocument/2006/relationships/hyperlink" Target="https://www.property24.com/to-rent/walmer/gqeberha/eastern-cape/8341/116875966" TargetMode="External"/><Relationship Id="rId1" Type="http://schemas.openxmlformats.org/officeDocument/2006/relationships/hyperlink" Target="https://www.property24.com/to-rent/pinelands/gqeberha/eastern-cape/6933/11153568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02B7-7BDA-402D-B7D4-F8DF5E7D4978}">
  <dimension ref="B1:M53"/>
  <sheetViews>
    <sheetView topLeftCell="A27" workbookViewId="0">
      <selection activeCell="B57" sqref="B57"/>
    </sheetView>
  </sheetViews>
  <sheetFormatPr defaultRowHeight="15" x14ac:dyDescent="0.25"/>
  <cols>
    <col min="1" max="1" width="2.7109375" customWidth="1"/>
    <col min="2" max="2" width="44.5703125" bestFit="1" customWidth="1"/>
    <col min="3" max="3" width="11.28515625" customWidth="1"/>
    <col min="4" max="4" width="11.42578125" customWidth="1"/>
    <col min="5" max="5" width="5.7109375" customWidth="1"/>
    <col min="6" max="6" width="15.140625" bestFit="1" customWidth="1"/>
    <col min="7" max="7" width="3.140625" customWidth="1"/>
    <col min="8" max="8" width="43.28515625" customWidth="1"/>
    <col min="9" max="9" width="16" customWidth="1"/>
    <col min="11" max="11" width="17.5703125" customWidth="1"/>
    <col min="12" max="12" width="77.85546875" bestFit="1" customWidth="1"/>
    <col min="13" max="13" width="21.140625" customWidth="1"/>
  </cols>
  <sheetData>
    <row r="1" spans="2:13" x14ac:dyDescent="0.25">
      <c r="F1" s="7"/>
    </row>
    <row r="2" spans="2:13" x14ac:dyDescent="0.25">
      <c r="B2" s="2" t="s">
        <v>1</v>
      </c>
      <c r="C2" s="3"/>
      <c r="D2" s="3"/>
      <c r="E2" s="3"/>
      <c r="F2" s="14">
        <v>2710</v>
      </c>
      <c r="H2" s="17" t="s">
        <v>17</v>
      </c>
      <c r="I2" s="18" t="s">
        <v>15</v>
      </c>
      <c r="J2" s="17" t="s">
        <v>14</v>
      </c>
      <c r="K2" s="19" t="s">
        <v>0</v>
      </c>
      <c r="L2" s="17" t="s">
        <v>16</v>
      </c>
      <c r="M2" s="17" t="s">
        <v>34</v>
      </c>
    </row>
    <row r="3" spans="2:13" x14ac:dyDescent="0.25">
      <c r="B3" s="4" t="s">
        <v>7</v>
      </c>
      <c r="C3" s="5"/>
      <c r="D3" s="5"/>
      <c r="E3" s="5"/>
      <c r="F3" s="13">
        <f>F4/F2</f>
        <v>1497.7398523985239</v>
      </c>
      <c r="H3" t="s">
        <v>32</v>
      </c>
      <c r="I3" s="7">
        <f>10450</f>
        <v>10450</v>
      </c>
      <c r="J3">
        <v>74</v>
      </c>
      <c r="K3" s="8">
        <f>I3/J3</f>
        <v>141.21621621621622</v>
      </c>
      <c r="L3" s="20" t="s">
        <v>31</v>
      </c>
      <c r="M3" t="s">
        <v>35</v>
      </c>
    </row>
    <row r="4" spans="2:13" x14ac:dyDescent="0.25">
      <c r="B4" s="39" t="s">
        <v>2</v>
      </c>
      <c r="C4" s="40"/>
      <c r="D4" s="57" t="s">
        <v>6</v>
      </c>
      <c r="E4" s="40"/>
      <c r="F4" s="58">
        <v>4058875</v>
      </c>
      <c r="H4" t="s">
        <v>37</v>
      </c>
      <c r="I4" s="7">
        <v>7950</v>
      </c>
      <c r="J4">
        <v>55</v>
      </c>
      <c r="K4" s="8">
        <f>I4/J4</f>
        <v>144.54545454545453</v>
      </c>
      <c r="L4" s="20" t="s">
        <v>36</v>
      </c>
      <c r="M4" s="1" t="s">
        <v>43</v>
      </c>
    </row>
    <row r="5" spans="2:13" x14ac:dyDescent="0.25">
      <c r="B5" s="1"/>
      <c r="C5" s="1"/>
      <c r="D5" s="1"/>
      <c r="E5" s="1"/>
      <c r="F5" s="7"/>
      <c r="H5" t="s">
        <v>56</v>
      </c>
      <c r="I5" s="7">
        <v>11900</v>
      </c>
      <c r="J5">
        <v>58</v>
      </c>
      <c r="K5" s="8">
        <f>I5/J5</f>
        <v>205.17241379310346</v>
      </c>
      <c r="L5" s="20" t="s">
        <v>57</v>
      </c>
      <c r="M5" s="1" t="s">
        <v>43</v>
      </c>
    </row>
    <row r="6" spans="2:13" x14ac:dyDescent="0.25">
      <c r="B6" s="2" t="s">
        <v>3</v>
      </c>
      <c r="C6" s="3"/>
      <c r="D6" s="3"/>
      <c r="E6" s="3"/>
      <c r="F6" s="14">
        <v>928</v>
      </c>
      <c r="I6" s="7"/>
      <c r="K6" s="8"/>
      <c r="L6" s="20"/>
      <c r="M6" s="1"/>
    </row>
    <row r="7" spans="2:13" x14ac:dyDescent="0.25">
      <c r="B7" s="4" t="s">
        <v>4</v>
      </c>
      <c r="C7" s="5"/>
      <c r="D7" s="22" t="s">
        <v>6</v>
      </c>
      <c r="E7" s="5"/>
      <c r="F7" s="13">
        <f>AVERAGE(15000,16000)/1.15</f>
        <v>13478.260869565218</v>
      </c>
      <c r="I7" s="7"/>
      <c r="K7" s="8"/>
      <c r="L7" s="20"/>
      <c r="M7" s="1"/>
    </row>
    <row r="8" spans="2:13" x14ac:dyDescent="0.25">
      <c r="B8" s="12" t="s">
        <v>29</v>
      </c>
      <c r="C8" s="6"/>
      <c r="D8" s="6"/>
      <c r="E8" s="6"/>
      <c r="F8" s="56" t="s">
        <v>39</v>
      </c>
      <c r="M8" s="1"/>
    </row>
    <row r="9" spans="2:13" x14ac:dyDescent="0.25">
      <c r="B9" s="36" t="s">
        <v>5</v>
      </c>
      <c r="C9" s="37"/>
      <c r="D9" s="37"/>
      <c r="E9" s="37"/>
      <c r="F9" s="32">
        <f>F6*F7</f>
        <v>12507826.086956521</v>
      </c>
    </row>
    <row r="10" spans="2:13" x14ac:dyDescent="0.25">
      <c r="B10" s="1"/>
      <c r="C10" s="1"/>
      <c r="D10" s="1"/>
      <c r="E10" s="1"/>
      <c r="F10" s="8"/>
    </row>
    <row r="11" spans="2:13" x14ac:dyDescent="0.25">
      <c r="B11" s="2" t="s">
        <v>20</v>
      </c>
      <c r="C11" s="3"/>
      <c r="D11" s="3"/>
      <c r="E11" s="34">
        <v>0.05</v>
      </c>
      <c r="F11" s="33">
        <f>F9*E11</f>
        <v>625391.30434782605</v>
      </c>
    </row>
    <row r="12" spans="2:13" x14ac:dyDescent="0.25">
      <c r="B12" s="52" t="s">
        <v>40</v>
      </c>
      <c r="E12" s="44">
        <v>0.02</v>
      </c>
      <c r="F12" s="31">
        <f>F9*E12</f>
        <v>250156.52173913043</v>
      </c>
    </row>
    <row r="13" spans="2:13" x14ac:dyDescent="0.25">
      <c r="B13" s="52" t="s">
        <v>21</v>
      </c>
      <c r="E13" s="44"/>
      <c r="F13" s="31">
        <v>40000</v>
      </c>
    </row>
    <row r="14" spans="2:13" x14ac:dyDescent="0.25">
      <c r="B14" s="4"/>
      <c r="C14" s="5"/>
      <c r="D14" s="5"/>
      <c r="E14" s="44"/>
      <c r="F14" s="13"/>
    </row>
    <row r="15" spans="2:13" x14ac:dyDescent="0.25">
      <c r="B15" s="36" t="s">
        <v>22</v>
      </c>
      <c r="C15" s="37"/>
      <c r="D15" s="37"/>
      <c r="E15" s="38"/>
      <c r="F15" s="32">
        <f>SUM(F11:F13)</f>
        <v>915547.82608695654</v>
      </c>
      <c r="H15" s="59"/>
    </row>
    <row r="16" spans="2:13" x14ac:dyDescent="0.25">
      <c r="B16" s="1"/>
      <c r="C16" s="1"/>
      <c r="D16" s="1"/>
      <c r="E16" s="1"/>
      <c r="F16" s="8"/>
    </row>
    <row r="17" spans="2:6" x14ac:dyDescent="0.25">
      <c r="B17" s="48" t="s">
        <v>23</v>
      </c>
      <c r="C17" s="62"/>
      <c r="D17" s="53"/>
      <c r="E17" s="45" t="s">
        <v>24</v>
      </c>
      <c r="F17" s="33">
        <v>2500</v>
      </c>
    </row>
    <row r="18" spans="2:6" x14ac:dyDescent="0.25">
      <c r="B18" s="49" t="s">
        <v>25</v>
      </c>
      <c r="C18" s="63"/>
      <c r="D18" s="54"/>
      <c r="E18" s="46" t="s">
        <v>24</v>
      </c>
      <c r="F18" s="31">
        <v>232000</v>
      </c>
    </row>
    <row r="19" spans="2:6" x14ac:dyDescent="0.25">
      <c r="B19" s="49" t="s">
        <v>26</v>
      </c>
      <c r="C19" s="63"/>
      <c r="D19" s="54"/>
      <c r="E19" s="46" t="s">
        <v>24</v>
      </c>
      <c r="F19" s="31">
        <v>14500</v>
      </c>
    </row>
    <row r="20" spans="2:6" x14ac:dyDescent="0.25">
      <c r="B20" s="49" t="s">
        <v>27</v>
      </c>
      <c r="C20" s="63"/>
      <c r="D20" s="54"/>
      <c r="E20" s="46" t="s">
        <v>24</v>
      </c>
      <c r="F20" s="31">
        <v>60000</v>
      </c>
    </row>
    <row r="21" spans="2:6" x14ac:dyDescent="0.25">
      <c r="B21" s="49" t="s">
        <v>38</v>
      </c>
      <c r="C21" s="63"/>
      <c r="D21" s="54"/>
      <c r="E21" s="46" t="s">
        <v>24</v>
      </c>
      <c r="F21" s="31">
        <v>30000</v>
      </c>
    </row>
    <row r="22" spans="2:6" x14ac:dyDescent="0.25">
      <c r="B22" s="50" t="s">
        <v>33</v>
      </c>
      <c r="C22" s="64"/>
      <c r="D22" s="55"/>
      <c r="E22" s="47" t="s">
        <v>24</v>
      </c>
      <c r="F22" s="13">
        <v>40000</v>
      </c>
    </row>
    <row r="23" spans="2:6" x14ac:dyDescent="0.25">
      <c r="B23" s="51" t="s">
        <v>28</v>
      </c>
      <c r="C23" s="65"/>
      <c r="D23" s="37"/>
      <c r="E23" s="38"/>
      <c r="F23" s="32">
        <f>SUM(F17:F22)</f>
        <v>379000</v>
      </c>
    </row>
    <row r="24" spans="2:6" x14ac:dyDescent="0.25">
      <c r="B24" s="1"/>
      <c r="C24" s="1"/>
      <c r="D24" s="1"/>
      <c r="E24" s="1"/>
      <c r="F24" s="8"/>
    </row>
    <row r="25" spans="2:6" x14ac:dyDescent="0.25">
      <c r="B25" s="2" t="s">
        <v>2</v>
      </c>
      <c r="C25" s="3"/>
      <c r="D25" s="3"/>
      <c r="E25" s="34"/>
      <c r="F25" s="33">
        <f>F4</f>
        <v>4058875</v>
      </c>
    </row>
    <row r="26" spans="2:6" x14ac:dyDescent="0.25">
      <c r="B26" s="52" t="s">
        <v>5</v>
      </c>
      <c r="E26" s="44"/>
      <c r="F26" s="31">
        <f>F9</f>
        <v>12507826.086956521</v>
      </c>
    </row>
    <row r="27" spans="2:6" x14ac:dyDescent="0.25">
      <c r="B27" s="52" t="s">
        <v>22</v>
      </c>
      <c r="E27" s="44"/>
      <c r="F27" s="31">
        <f>F15</f>
        <v>915547.82608695654</v>
      </c>
    </row>
    <row r="28" spans="2:6" x14ac:dyDescent="0.25">
      <c r="B28" s="4" t="s">
        <v>28</v>
      </c>
      <c r="C28" s="5"/>
      <c r="D28" s="5"/>
      <c r="E28" s="35"/>
      <c r="F28" s="13">
        <f>F23</f>
        <v>379000</v>
      </c>
    </row>
    <row r="29" spans="2:6" x14ac:dyDescent="0.25">
      <c r="B29" s="36" t="s">
        <v>30</v>
      </c>
      <c r="C29" s="37"/>
      <c r="D29" s="37"/>
      <c r="E29" s="37"/>
      <c r="F29" s="32">
        <f>SUM(F25:F28)</f>
        <v>17861248.913043477</v>
      </c>
    </row>
    <row r="30" spans="2:6" x14ac:dyDescent="0.25">
      <c r="B30" s="1"/>
      <c r="C30" s="1"/>
      <c r="D30" s="1"/>
      <c r="E30" s="1"/>
      <c r="F30" s="8"/>
    </row>
    <row r="31" spans="2:6" x14ac:dyDescent="0.25">
      <c r="B31" s="36" t="s">
        <v>41</v>
      </c>
      <c r="C31" s="37"/>
      <c r="D31" s="37">
        <f>F6</f>
        <v>928</v>
      </c>
      <c r="E31" s="37" t="s">
        <v>42</v>
      </c>
      <c r="F31" s="32">
        <f>F29/D31</f>
        <v>19247.035466641679</v>
      </c>
    </row>
    <row r="32" spans="2:6" x14ac:dyDescent="0.25">
      <c r="B32" s="1"/>
      <c r="C32" s="1"/>
      <c r="D32" s="1"/>
      <c r="E32" s="1"/>
      <c r="F32" s="8"/>
    </row>
    <row r="33" spans="2:8" x14ac:dyDescent="0.25">
      <c r="B33" s="2" t="s">
        <v>19</v>
      </c>
      <c r="C33" s="3"/>
      <c r="D33" s="3"/>
      <c r="E33" s="3"/>
      <c r="F33" s="21">
        <v>0.08</v>
      </c>
    </row>
    <row r="34" spans="2:8" x14ac:dyDescent="0.25">
      <c r="B34" s="36" t="s">
        <v>8</v>
      </c>
      <c r="C34" s="37"/>
      <c r="D34" s="37"/>
      <c r="E34" s="37"/>
      <c r="F34" s="32">
        <f>F29*F33</f>
        <v>1428899.9130434783</v>
      </c>
    </row>
    <row r="36" spans="2:8" x14ac:dyDescent="0.25">
      <c r="B36" s="12" t="s">
        <v>9</v>
      </c>
      <c r="C36" s="6"/>
      <c r="D36" s="6"/>
      <c r="E36" s="6"/>
      <c r="F36" s="15"/>
    </row>
    <row r="37" spans="2:8" x14ac:dyDescent="0.25">
      <c r="B37" s="41" t="s">
        <v>10</v>
      </c>
      <c r="C37" s="66"/>
      <c r="D37" s="37"/>
      <c r="E37" s="37"/>
      <c r="F37" s="42">
        <v>0.15</v>
      </c>
    </row>
    <row r="38" spans="2:8" x14ac:dyDescent="0.25">
      <c r="H38" s="7"/>
    </row>
    <row r="39" spans="2:8" x14ac:dyDescent="0.25">
      <c r="B39" s="2" t="s">
        <v>11</v>
      </c>
      <c r="C39" s="3"/>
      <c r="D39" s="3"/>
      <c r="E39" s="3"/>
      <c r="F39" s="16">
        <f>1-F37</f>
        <v>0.85</v>
      </c>
      <c r="H39" s="7"/>
    </row>
    <row r="40" spans="2:8" x14ac:dyDescent="0.25">
      <c r="B40" s="9" t="s">
        <v>8</v>
      </c>
      <c r="C40" s="10"/>
      <c r="D40" s="10"/>
      <c r="E40" s="10"/>
      <c r="F40" s="11">
        <f>F34</f>
        <v>1428899.9130434783</v>
      </c>
      <c r="H40" s="7"/>
    </row>
    <row r="41" spans="2:8" x14ac:dyDescent="0.25">
      <c r="B41" s="36" t="s">
        <v>12</v>
      </c>
      <c r="C41" s="37"/>
      <c r="D41" s="37"/>
      <c r="E41" s="37"/>
      <c r="F41" s="32">
        <f>F40/F39</f>
        <v>1681058.7212276214</v>
      </c>
    </row>
    <row r="43" spans="2:8" x14ac:dyDescent="0.25">
      <c r="B43" s="36" t="s">
        <v>13</v>
      </c>
      <c r="C43" s="37"/>
      <c r="D43" s="37"/>
      <c r="E43" s="43"/>
      <c r="F43" s="32">
        <f>F41/12</f>
        <v>140088.22676896845</v>
      </c>
    </row>
    <row r="44" spans="2:8" x14ac:dyDescent="0.25">
      <c r="B44" s="1"/>
      <c r="C44" s="1"/>
      <c r="F44" s="7"/>
    </row>
    <row r="45" spans="2:8" x14ac:dyDescent="0.25">
      <c r="B45" s="28" t="s">
        <v>47</v>
      </c>
      <c r="C45" s="29"/>
      <c r="D45" s="30" t="s">
        <v>6</v>
      </c>
      <c r="E45" s="29"/>
      <c r="F45" s="23">
        <f>F43/F6</f>
        <v>150.95714091483669</v>
      </c>
    </row>
    <row r="46" spans="2:8" x14ac:dyDescent="0.25">
      <c r="B46" s="1"/>
      <c r="C46" s="1"/>
      <c r="F46" s="7"/>
    </row>
    <row r="47" spans="2:8" x14ac:dyDescent="0.25">
      <c r="B47" s="24" t="s">
        <v>18</v>
      </c>
      <c r="C47" s="25"/>
      <c r="D47" s="26" t="s">
        <v>6</v>
      </c>
      <c r="E47" s="25"/>
      <c r="F47" s="27">
        <f>AVERAGE(K3:K7)</f>
        <v>163.64469485159142</v>
      </c>
    </row>
    <row r="49" spans="2:9" x14ac:dyDescent="0.25">
      <c r="B49" s="12" t="s">
        <v>48</v>
      </c>
      <c r="C49" s="67" t="s">
        <v>49</v>
      </c>
      <c r="D49" s="67" t="s">
        <v>50</v>
      </c>
      <c r="E49" s="67" t="s">
        <v>51</v>
      </c>
      <c r="F49" s="68" t="s">
        <v>52</v>
      </c>
    </row>
    <row r="50" spans="2:9" x14ac:dyDescent="0.25">
      <c r="B50" s="70" t="s">
        <v>44</v>
      </c>
      <c r="C50" s="71">
        <v>16</v>
      </c>
      <c r="D50" s="72">
        <v>1</v>
      </c>
      <c r="E50" s="71">
        <v>58</v>
      </c>
      <c r="F50" s="61">
        <f>$F$45*E50*D50</f>
        <v>8755.5141730605283</v>
      </c>
      <c r="H50" t="s">
        <v>54</v>
      </c>
      <c r="I50" s="7"/>
    </row>
    <row r="51" spans="2:9" x14ac:dyDescent="0.25">
      <c r="B51" s="52" t="s">
        <v>45</v>
      </c>
      <c r="D51" s="59">
        <v>0.3</v>
      </c>
      <c r="E51">
        <v>23</v>
      </c>
      <c r="F51" s="31">
        <f>$F$45*E51*D51</f>
        <v>1041.604272312373</v>
      </c>
      <c r="H51" t="s">
        <v>55</v>
      </c>
      <c r="I51" s="7"/>
    </row>
    <row r="52" spans="2:9" x14ac:dyDescent="0.25">
      <c r="B52" s="4" t="s">
        <v>46</v>
      </c>
      <c r="C52" s="5"/>
      <c r="D52" s="69">
        <v>0.15</v>
      </c>
      <c r="E52" s="5">
        <v>11</v>
      </c>
      <c r="F52" s="13">
        <f>$F$45*E52*D52</f>
        <v>249.07928250948052</v>
      </c>
      <c r="H52" t="s">
        <v>55</v>
      </c>
    </row>
    <row r="53" spans="2:9" x14ac:dyDescent="0.25">
      <c r="B53" s="36" t="s">
        <v>53</v>
      </c>
      <c r="C53" s="60"/>
      <c r="D53" s="60"/>
      <c r="E53" s="60"/>
      <c r="F53" s="32">
        <f>SUM(F50:F52)</f>
        <v>10046.197727882383</v>
      </c>
    </row>
  </sheetData>
  <hyperlinks>
    <hyperlink ref="L3" r:id="rId1" xr:uid="{BE405F4D-1135-47A0-A18C-C332B2C6C1C7}"/>
    <hyperlink ref="L4" r:id="rId2" xr:uid="{9D5D71DE-C5E3-4CA8-B513-AE0E8EB01808}"/>
    <hyperlink ref="L5" r:id="rId3" xr:uid="{0271C05D-2DA3-417E-AEF9-06175F05C8F7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CAEC-4999-43F5-8C9D-62597AA7B280}">
  <dimension ref="A2:C17"/>
  <sheetViews>
    <sheetView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8.7109375" customWidth="1"/>
    <col min="3" max="3" width="20" customWidth="1"/>
    <col min="4" max="4" width="4.7109375" customWidth="1"/>
  </cols>
  <sheetData>
    <row r="2" spans="1:3" x14ac:dyDescent="0.25">
      <c r="A2" s="1" t="s">
        <v>58</v>
      </c>
      <c r="C2" s="7">
        <f>'809_Walmer'!F29</f>
        <v>17861248.913043477</v>
      </c>
    </row>
    <row r="3" spans="1:3" x14ac:dyDescent="0.25">
      <c r="A3" s="1" t="s">
        <v>59</v>
      </c>
      <c r="C3" s="7">
        <f>'809_Walmer'!F34</f>
        <v>1428899.9130434783</v>
      </c>
    </row>
    <row r="4" spans="1:3" x14ac:dyDescent="0.25">
      <c r="A4" s="1" t="s">
        <v>60</v>
      </c>
      <c r="C4" s="77">
        <v>0.05</v>
      </c>
    </row>
    <row r="5" spans="1:3" x14ac:dyDescent="0.25">
      <c r="A5" s="1" t="s">
        <v>61</v>
      </c>
      <c r="C5" s="73">
        <f>LN((C2*C4/C3)+1)/LN(1+C4)</f>
        <v>9.9509363013351066</v>
      </c>
    </row>
    <row r="7" spans="1:3" x14ac:dyDescent="0.25">
      <c r="A7" s="74" t="s">
        <v>62</v>
      </c>
      <c r="B7" s="74" t="s">
        <v>63</v>
      </c>
      <c r="C7" s="74" t="s">
        <v>64</v>
      </c>
    </row>
    <row r="8" spans="1:3" x14ac:dyDescent="0.25">
      <c r="A8" s="75">
        <v>1</v>
      </c>
      <c r="B8" s="76">
        <f>C3*A8</f>
        <v>1428899.9130434783</v>
      </c>
      <c r="C8" s="76">
        <f>B8</f>
        <v>1428899.9130434783</v>
      </c>
    </row>
    <row r="9" spans="1:3" x14ac:dyDescent="0.25">
      <c r="A9" s="75">
        <v>2</v>
      </c>
      <c r="B9" s="7">
        <f>C8*(1+$C$4)</f>
        <v>1500344.9086956521</v>
      </c>
      <c r="C9" s="76">
        <f>C8+B9</f>
        <v>2929244.8217391307</v>
      </c>
    </row>
    <row r="10" spans="1:3" x14ac:dyDescent="0.25">
      <c r="A10" s="75">
        <v>3</v>
      </c>
      <c r="B10" s="7">
        <f>B9*(1+$C$4)</f>
        <v>1575362.1541304349</v>
      </c>
      <c r="C10" s="76">
        <f t="shared" ref="C10:C17" si="0">C9+B10</f>
        <v>4504606.9758695653</v>
      </c>
    </row>
    <row r="11" spans="1:3" x14ac:dyDescent="0.25">
      <c r="A11" s="75">
        <v>4</v>
      </c>
      <c r="B11" s="7">
        <f t="shared" ref="B11:B17" si="1">B10*(1+$C$4)</f>
        <v>1654130.2618369567</v>
      </c>
      <c r="C11" s="76">
        <f t="shared" si="0"/>
        <v>6158737.2377065215</v>
      </c>
    </row>
    <row r="12" spans="1:3" x14ac:dyDescent="0.25">
      <c r="A12" s="75">
        <v>5</v>
      </c>
      <c r="B12" s="7">
        <f t="shared" si="1"/>
        <v>1736836.7749288047</v>
      </c>
      <c r="C12" s="76">
        <f t="shared" si="0"/>
        <v>7895574.012635326</v>
      </c>
    </row>
    <row r="13" spans="1:3" x14ac:dyDescent="0.25">
      <c r="A13" s="75">
        <v>6</v>
      </c>
      <c r="B13" s="7">
        <f t="shared" si="1"/>
        <v>1823678.6136752451</v>
      </c>
      <c r="C13" s="76">
        <f t="shared" si="0"/>
        <v>9719252.626310572</v>
      </c>
    </row>
    <row r="14" spans="1:3" x14ac:dyDescent="0.25">
      <c r="A14" s="75">
        <v>7</v>
      </c>
      <c r="B14" s="7">
        <f t="shared" si="1"/>
        <v>1914862.5443590074</v>
      </c>
      <c r="C14" s="76">
        <f t="shared" si="0"/>
        <v>11634115.17066958</v>
      </c>
    </row>
    <row r="15" spans="1:3" x14ac:dyDescent="0.25">
      <c r="A15" s="75">
        <v>8</v>
      </c>
      <c r="B15" s="7">
        <f t="shared" si="1"/>
        <v>2010605.6715769579</v>
      </c>
      <c r="C15" s="76">
        <f t="shared" si="0"/>
        <v>13644720.842246538</v>
      </c>
    </row>
    <row r="16" spans="1:3" x14ac:dyDescent="0.25">
      <c r="A16" s="75">
        <v>9</v>
      </c>
      <c r="B16" s="7">
        <f t="shared" si="1"/>
        <v>2111135.9551558057</v>
      </c>
      <c r="C16" s="76">
        <f t="shared" si="0"/>
        <v>15755856.797402345</v>
      </c>
    </row>
    <row r="17" spans="1:3" x14ac:dyDescent="0.25">
      <c r="A17" s="75">
        <v>10</v>
      </c>
      <c r="B17" s="7">
        <f t="shared" si="1"/>
        <v>2216692.7529135961</v>
      </c>
      <c r="C17" s="76">
        <f t="shared" si="0"/>
        <v>17972549.550315939</v>
      </c>
    </row>
  </sheetData>
  <conditionalFormatting sqref="A8:C50">
    <cfRule type="expression" dxfId="1" priority="1">
      <formula>AND($C$5&gt;A8-1,$C$5&lt;=A8,B8&lt;&gt;0)</formula>
    </cfRule>
    <cfRule type="expression" dxfId="0" priority="2">
      <formula>AND($C$5&gt;=A8,$C$5&lt;A8+1,B8&lt;&gt;0)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809_Walmer</vt:lpstr>
      <vt:lpstr>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2026-02-02T11:16:18Z</dcterms:created>
  <dcterms:modified xsi:type="dcterms:W3CDTF">2026-03-18T08:00:26Z</dcterms:modified>
</cp:coreProperties>
</file>