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6\x006 - Brian Bowyer (Villas M2)\"/>
    </mc:Choice>
  </mc:AlternateContent>
  <xr:revisionPtr revIDLastSave="0" documentId="13_ncr:1_{53C16EB6-11A5-4153-BB24-E4D01BDA472A}" xr6:coauthVersionLast="47" xr6:coauthVersionMax="47" xr10:uidLastSave="{00000000-0000-0000-0000-000000000000}"/>
  <bookViews>
    <workbookView xWindow="-120" yWindow="-120" windowWidth="29040" windowHeight="15720" activeTab="2" xr2:uid="{260A762B-E942-4A40-AAE5-7E980C9B525F}"/>
  </bookViews>
  <sheets>
    <sheet name="Employees" sheetId="1" r:id="rId1"/>
    <sheet name=" Fees (2D-3D)" sheetId="3" r:id="rId2"/>
    <sheet name="Sheet1" sheetId="5" r:id="rId3"/>
    <sheet name="Data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5" l="1"/>
  <c r="E11" i="5" s="1"/>
  <c r="B21" i="5"/>
  <c r="C16" i="5"/>
  <c r="B11" i="5"/>
  <c r="C11" i="5" s="1"/>
  <c r="Q18" i="5"/>
  <c r="R18" i="5" s="1"/>
  <c r="D3" i="5"/>
  <c r="C17" i="5" l="1"/>
  <c r="B22" i="5" s="1"/>
  <c r="B23" i="5" s="1"/>
  <c r="O23" i="5"/>
  <c r="Q23" i="5"/>
  <c r="D7" i="5"/>
  <c r="F18" i="3"/>
  <c r="F17" i="3"/>
  <c r="G17" i="3"/>
  <c r="H40" i="3"/>
  <c r="H39" i="3"/>
  <c r="E17" i="3"/>
  <c r="F19" i="3"/>
  <c r="O26" i="1"/>
  <c r="O27" i="1"/>
  <c r="O40" i="1"/>
  <c r="O43" i="1" s="1"/>
  <c r="D32" i="1" s="1"/>
  <c r="O36" i="1"/>
  <c r="O35" i="1"/>
  <c r="O34" i="1"/>
  <c r="N33" i="1"/>
  <c r="O33" i="1" s="1"/>
  <c r="O28" i="1"/>
  <c r="C41" i="1"/>
  <c r="N26" i="1" s="1"/>
  <c r="D35" i="1"/>
  <c r="D34" i="1"/>
  <c r="D33" i="1"/>
  <c r="D29" i="1"/>
  <c r="G14" i="1"/>
  <c r="H14" i="1" s="1"/>
  <c r="J41" i="1" s="1"/>
  <c r="G13" i="1"/>
  <c r="H13" i="1" s="1"/>
  <c r="D41" i="1" s="1"/>
  <c r="Q33" i="5" l="1"/>
  <c r="Q35" i="5" s="1"/>
  <c r="Q36" i="5" s="1"/>
  <c r="R20" i="5"/>
  <c r="R26" i="5" s="1"/>
  <c r="R27" i="5" s="1"/>
  <c r="Q20" i="5"/>
  <c r="Q26" i="5" s="1"/>
  <c r="Q27" i="5" s="1"/>
  <c r="F15" i="3"/>
  <c r="J25" i="1"/>
  <c r="O37" i="1"/>
  <c r="J24" i="1" s="1"/>
  <c r="S18" i="5" l="1"/>
  <c r="R23" i="5"/>
  <c r="R33" i="5" s="1"/>
  <c r="R35" i="5" s="1"/>
  <c r="R36" i="5" s="1"/>
  <c r="H61" i="3"/>
  <c r="G18" i="3"/>
  <c r="G19" i="3"/>
  <c r="G27" i="3"/>
  <c r="S23" i="5" l="1"/>
  <c r="S33" i="5" s="1"/>
  <c r="S35" i="5" s="1"/>
  <c r="S36" i="5" s="1"/>
  <c r="T18" i="5"/>
  <c r="S20" i="5"/>
  <c r="G15" i="3"/>
  <c r="G65" i="3"/>
  <c r="W20" i="5" l="1"/>
  <c r="S26" i="5"/>
  <c r="S27" i="5" s="1"/>
  <c r="T20" i="5"/>
  <c r="T26" i="5" s="1"/>
  <c r="T27" i="5" s="1"/>
  <c r="T23" i="5"/>
  <c r="C14" i="2"/>
  <c r="C15" i="2" s="1"/>
  <c r="H37" i="3"/>
  <c r="H48" i="3" s="1"/>
  <c r="K63" i="2"/>
  <c r="K40" i="3"/>
  <c r="M77" i="3"/>
  <c r="M76" i="3"/>
  <c r="M75" i="3"/>
  <c r="M74" i="3"/>
  <c r="M73" i="3"/>
  <c r="M72" i="3"/>
  <c r="M71" i="3"/>
  <c r="M70" i="3"/>
  <c r="H49" i="3" l="1"/>
  <c r="H50" i="3" s="1"/>
  <c r="L63" i="2"/>
  <c r="L64" i="2"/>
  <c r="H65" i="3"/>
  <c r="M78" i="3"/>
  <c r="L65" i="2" l="1"/>
  <c r="K64" i="2" s="1"/>
  <c r="E67" i="3"/>
  <c r="E72" i="3" s="1"/>
  <c r="E73" i="3" s="1"/>
  <c r="E5" i="2"/>
  <c r="E74" i="3" l="1"/>
  <c r="E76" i="3" s="1"/>
  <c r="K25" i="2"/>
  <c r="K44" i="2"/>
  <c r="F79" i="3" l="1"/>
  <c r="H79" i="3" s="1"/>
  <c r="F82" i="3"/>
  <c r="H82" i="3" s="1"/>
  <c r="F85" i="3"/>
  <c r="F83" i="3"/>
  <c r="F80" i="3"/>
  <c r="H80" i="3" s="1"/>
  <c r="F84" i="3"/>
  <c r="H84" i="3" s="1"/>
  <c r="F81" i="3"/>
  <c r="H81" i="3" s="1"/>
  <c r="L45" i="2"/>
  <c r="L44" i="2"/>
  <c r="L26" i="2"/>
  <c r="L25" i="2"/>
  <c r="C16" i="2"/>
  <c r="C18" i="2" s="1"/>
  <c r="H83" i="3" l="1"/>
  <c r="H88" i="3"/>
  <c r="H85" i="3"/>
  <c r="L27" i="2"/>
  <c r="K26" i="2" s="1"/>
  <c r="Q9" i="2"/>
  <c r="Q11" i="2"/>
  <c r="W11" i="2" s="1"/>
  <c r="S11" i="2" s="1"/>
  <c r="Q10" i="2"/>
  <c r="W10" i="2" s="1"/>
  <c r="S10" i="2" s="1"/>
  <c r="Q12" i="2"/>
  <c r="W12" i="2" s="1"/>
  <c r="S12" i="2" s="1"/>
  <c r="L46" i="2"/>
  <c r="K45" i="2" s="1"/>
  <c r="H87" i="3" l="1"/>
  <c r="H90" i="3" s="1"/>
  <c r="Q14" i="2"/>
  <c r="W9" i="2"/>
  <c r="S9" i="2" s="1"/>
  <c r="S15" i="2" s="1"/>
  <c r="M15" i="3" l="1"/>
  <c r="O30" i="1"/>
  <c r="D36" i="1" s="1"/>
  <c r="J29" i="1" l="1"/>
  <c r="J28" i="1"/>
  <c r="J27" i="1"/>
  <c r="J26" i="1"/>
  <c r="D38" i="1"/>
  <c r="D39" i="1" l="1"/>
  <c r="D43" i="1" s="1"/>
  <c r="J38" i="1"/>
  <c r="J39" i="1" s="1"/>
  <c r="J43" i="1" s="1"/>
  <c r="J45" i="1" s="1"/>
  <c r="D45" i="1" l="1"/>
  <c r="D46" i="1" s="1"/>
  <c r="J46" i="1"/>
  <c r="C19" i="1" l="1"/>
  <c r="G19" i="1" s="1"/>
  <c r="C20" i="1"/>
  <c r="G20" i="1" s="1"/>
  <c r="H17" i="3" l="1"/>
  <c r="E19" i="3"/>
  <c r="H19" i="3" s="1"/>
  <c r="E18" i="3"/>
  <c r="H18" i="3" s="1"/>
  <c r="F5" i="2"/>
  <c r="G5" i="2" s="1"/>
  <c r="H5" i="2" s="1"/>
  <c r="H15" i="3" l="1"/>
  <c r="H28" i="3" l="1"/>
  <c r="H29" i="3" s="1"/>
  <c r="H30" i="3" s="1"/>
  <c r="J28" i="3" l="1"/>
  <c r="L38" i="3" s="1"/>
  <c r="M19" i="3"/>
  <c r="K28" i="3" l="1"/>
  <c r="L28" i="3" s="1"/>
  <c r="N28" i="3" s="1"/>
  <c r="M28" i="3" s="1"/>
  <c r="M30" i="3" s="1"/>
  <c r="M32" i="3" s="1"/>
  <c r="L39" i="3"/>
  <c r="L37" i="3"/>
  <c r="L40" i="3" l="1"/>
</calcChain>
</file>

<file path=xl/sharedStrings.xml><?xml version="1.0" encoding="utf-8"?>
<sst xmlns="http://schemas.openxmlformats.org/spreadsheetml/2006/main" count="282" uniqueCount="196">
  <si>
    <t>Position</t>
  </si>
  <si>
    <t>Name</t>
  </si>
  <si>
    <t>Director</t>
  </si>
  <si>
    <t>Total</t>
  </si>
  <si>
    <t>Total: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</si>
  <si>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</si>
  <si>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</si>
  <si>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</si>
  <si>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</si>
  <si>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</si>
  <si>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</si>
  <si>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</si>
  <si>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</si>
  <si>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</si>
  <si>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</si>
  <si>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</si>
  <si>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</si>
  <si>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</si>
  <si>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</si>
  <si>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</si>
  <si>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</si>
  <si>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</si>
  <si>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</si>
  <si>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</si>
  <si>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</si>
  <si>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</si>
  <si>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</si>
  <si>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</si>
  <si>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</si>
  <si>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</si>
  <si>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</si>
  <si>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</si>
  <si>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</si>
  <si>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</si>
  <si>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</si>
  <si>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</si>
  <si>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</si>
  <si>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</si>
  <si>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</si>
  <si>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</si>
  <si>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</si>
  <si>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</si>
  <si>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</si>
  <si>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</si>
  <si>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</si>
  <si>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</si>
  <si>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</si>
  <si>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</si>
  <si>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</si>
  <si>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</si>
  <si>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</si>
  <si>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</si>
  <si>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</si>
  <si>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</si>
  <si>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</si>
  <si>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</si>
  <si>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</si>
  <si>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</si>
  <si>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</si>
  <si>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</si>
  <si>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</si>
  <si>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</si>
  <si>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</si>
  <si>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</si>
  <si>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</si>
  <si>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</si>
  <si>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Discount</t>
  </si>
  <si>
    <t>TOTAL:</t>
  </si>
  <si>
    <t>m² Rate</t>
  </si>
  <si>
    <t>PER M² FEES</t>
  </si>
  <si>
    <t xml:space="preserve">m² </t>
  </si>
  <si>
    <t>Total Drawing Days</t>
  </si>
  <si>
    <t>Hours out of office</t>
  </si>
  <si>
    <t>Dewald</t>
  </si>
  <si>
    <t>Project Daily Rate</t>
  </si>
  <si>
    <t>Discount:</t>
  </si>
  <si>
    <t>Phase 1:</t>
  </si>
  <si>
    <t>Admin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</si>
  <si>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</si>
  <si>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</si>
  <si>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</si>
  <si>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</si>
  <si>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</si>
  <si>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</si>
  <si>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</si>
  <si>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</si>
  <si>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</si>
  <si>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</si>
  <si>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</si>
  <si>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Total Fees</t>
  </si>
  <si>
    <t>Discount overall</t>
  </si>
  <si>
    <t>Tech</t>
  </si>
  <si>
    <t>Johan Hugo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</si>
  <si>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</si>
  <si>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</si>
  <si>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</si>
  <si>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</si>
  <si>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</si>
  <si>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</si>
  <si>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</si>
  <si>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</si>
  <si>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</si>
  <si>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</si>
  <si>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</si>
  <si>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</si>
  <si>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Deposit Payment</t>
  </si>
  <si>
    <t>Interim Payment</t>
  </si>
  <si>
    <t>Balance Payment</t>
  </si>
  <si>
    <t>Payment Terms</t>
  </si>
  <si>
    <t>percentages</t>
  </si>
  <si>
    <t>Amount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</si>
  <si>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</si>
  <si>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Secondary Fee:</t>
  </si>
  <si>
    <t xml:space="preserve">Total Professional Fees: </t>
  </si>
  <si>
    <t xml:space="preserve">Total incl. Discount (ex.VAT) </t>
  </si>
  <si>
    <t>Gross Salary</t>
  </si>
  <si>
    <t>Final Fees (ex VAT)</t>
  </si>
  <si>
    <t>Fee (ex VAT)</t>
  </si>
  <si>
    <t>Medium</t>
  </si>
  <si>
    <t>Stage 6</t>
  </si>
  <si>
    <t>Close - Out</t>
  </si>
  <si>
    <t>Design Development</t>
  </si>
  <si>
    <t>Concept design</t>
  </si>
  <si>
    <t>Inception</t>
  </si>
  <si>
    <t>Stage 3</t>
  </si>
  <si>
    <t>Stage 2</t>
  </si>
  <si>
    <t>Stage 5</t>
  </si>
  <si>
    <t>Stage 1</t>
  </si>
  <si>
    <t xml:space="preserve"> </t>
  </si>
  <si>
    <t>Home</t>
  </si>
  <si>
    <t>Employed</t>
  </si>
  <si>
    <t>Hannes/Dewald</t>
  </si>
  <si>
    <t>EXPENSES:</t>
  </si>
  <si>
    <t>Description</t>
  </si>
  <si>
    <t>Rent</t>
  </si>
  <si>
    <t>Power</t>
  </si>
  <si>
    <t>Software</t>
  </si>
  <si>
    <t>Insurance</t>
  </si>
  <si>
    <t>Groceries</t>
  </si>
  <si>
    <t>Domestic</t>
  </si>
  <si>
    <t>Petrol</t>
  </si>
  <si>
    <t>Entertainment</t>
  </si>
  <si>
    <t>Charities</t>
  </si>
  <si>
    <t>SACAP</t>
  </si>
  <si>
    <t>Vehicle services</t>
  </si>
  <si>
    <t>Tyres H x 2 (1 Year)</t>
  </si>
  <si>
    <t>Tyers D x 2 (2 Years)</t>
  </si>
  <si>
    <t>Company Growth</t>
  </si>
  <si>
    <t>Directors Salaries</t>
  </si>
  <si>
    <t>Per Day Rate</t>
  </si>
  <si>
    <t>Per Hour Rate</t>
  </si>
  <si>
    <t>Directors</t>
  </si>
  <si>
    <t>Software:</t>
  </si>
  <si>
    <t>Term (months)</t>
  </si>
  <si>
    <t>Rate per Month</t>
  </si>
  <si>
    <t>Vray (chaos)</t>
  </si>
  <si>
    <t>Office 365</t>
  </si>
  <si>
    <t>3Dmax</t>
  </si>
  <si>
    <t>Employee</t>
  </si>
  <si>
    <t>Autocad</t>
  </si>
  <si>
    <t>Employee Salary</t>
  </si>
  <si>
    <t>Subscriptions:</t>
  </si>
  <si>
    <t>Software Total</t>
  </si>
  <si>
    <t>Subscription Total</t>
  </si>
  <si>
    <t>Total Expenses:</t>
  </si>
  <si>
    <t>Monthly Target</t>
  </si>
  <si>
    <t>Johan</t>
  </si>
  <si>
    <t>Municipal drawings</t>
  </si>
  <si>
    <t>Design Layout</t>
  </si>
  <si>
    <t>Units:</t>
  </si>
  <si>
    <t>Design Layout + 3D</t>
  </si>
  <si>
    <t>Sqm</t>
  </si>
  <si>
    <t>11 - 14</t>
  </si>
  <si>
    <t>6 - 9</t>
  </si>
  <si>
    <t>2-4</t>
  </si>
  <si>
    <t>15 and more</t>
  </si>
  <si>
    <t>Units 5</t>
  </si>
  <si>
    <t>Units 10</t>
  </si>
  <si>
    <t>Units 15</t>
  </si>
  <si>
    <t>SDP Submissions</t>
  </si>
  <si>
    <t>Rate</t>
  </si>
  <si>
    <t>Standard once off:</t>
  </si>
  <si>
    <t>Total for first Unit</t>
  </si>
  <si>
    <t>First Unit fees:</t>
  </si>
  <si>
    <t>2-4 Unit Rates:</t>
  </si>
  <si>
    <t>Unit size:</t>
  </si>
  <si>
    <t>85 sqm</t>
  </si>
  <si>
    <t>Total Units:</t>
  </si>
  <si>
    <t>(First unit fees)</t>
  </si>
  <si>
    <t>(SDP submission)</t>
  </si>
  <si>
    <t>Calculations:</t>
  </si>
  <si>
    <t>Example calculation:</t>
  </si>
  <si>
    <t>Repetitive Unit Rates (per SQM):</t>
  </si>
  <si>
    <t>per SQM</t>
  </si>
  <si>
    <t>(Total Units x R 120,03 rate x 85 sqm)</t>
  </si>
  <si>
    <t>Desgin Layouts + 3D Design  + Municipal Submissions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</si>
</sst>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164" formatCode="&quot;R&quot;#,##0.00"/>
    <numFmt numFmtId="165" formatCode="[$R-1C09]\ #,##0"/>
    <numFmt numFmtId="166" formatCode="[$R-1C09]#,##0.00"/>
    <numFmt numFmtId="167" formatCode="0.0%"/>
    <numFmt numFmtId="168" formatCode="General\ &quot;Visits&quot;"/>
  </numFmts>
  <fonts count="2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sz val="8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6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374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5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5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6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6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0" fontId="0" fillId="9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0" fontId="8" fillId="9" borderId="50" xfId="0" applyFont="1" applyFill="1" applyBorder="1" applyAlignment="1">
      <alignment horizontal="center"/>
    </xf>
    <xf numFmtId="0" fontId="4" fillId="9" borderId="50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0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7" fontId="0" fillId="0" borderId="0" xfId="3" applyNumberFormat="1" applyFont="1"/>
    <xf numFmtId="9" fontId="0" fillId="0" borderId="0" xfId="0" applyNumberFormat="1"/>
    <xf numFmtId="164" fontId="9" fillId="0" borderId="13" xfId="0" applyNumberFormat="1" applyFont="1" applyBorder="1"/>
    <xf numFmtId="0" fontId="0" fillId="0" borderId="6" xfId="0" applyBorder="1"/>
    <xf numFmtId="0" fontId="0" fillId="0" borderId="9" xfId="0" applyBorder="1"/>
    <xf numFmtId="164" fontId="4" fillId="0" borderId="0" xfId="0" applyNumberFormat="1" applyFont="1" applyAlignment="1">
      <alignment horizontal="right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8" fillId="4" borderId="13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8" fillId="0" borderId="55" xfId="0" applyNumberFormat="1" applyFont="1" applyBorder="1"/>
    <xf numFmtId="0" fontId="24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54" xfId="0" applyFont="1" applyBorder="1"/>
    <xf numFmtId="9" fontId="3" fillId="0" borderId="54" xfId="0" applyNumberFormat="1" applyFont="1" applyBorder="1"/>
    <xf numFmtId="164" fontId="3" fillId="0" borderId="54" xfId="0" applyNumberFormat="1" applyFont="1" applyBorder="1"/>
    <xf numFmtId="0" fontId="22" fillId="0" borderId="52" xfId="0" applyFont="1" applyBorder="1" applyAlignment="1">
      <alignment horizontal="center" vertical="center"/>
    </xf>
    <xf numFmtId="9" fontId="22" fillId="0" borderId="50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4" borderId="0" xfId="0" applyFont="1" applyFill="1"/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center"/>
    </xf>
    <xf numFmtId="168" fontId="0" fillId="0" borderId="0" xfId="0" applyNumberFormat="1"/>
    <xf numFmtId="44" fontId="4" fillId="0" borderId="24" xfId="0" applyNumberFormat="1" applyFont="1" applyBorder="1"/>
    <xf numFmtId="44" fontId="4" fillId="0" borderId="0" xfId="0" applyNumberFormat="1" applyFont="1"/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44" fontId="4" fillId="0" borderId="46" xfId="0" applyNumberFormat="1" applyFont="1" applyBorder="1"/>
    <xf numFmtId="44" fontId="4" fillId="0" borderId="49" xfId="0" applyNumberFormat="1" applyFont="1" applyBorder="1"/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vertical="center"/>
    </xf>
    <xf numFmtId="44" fontId="3" fillId="0" borderId="0" xfId="0" applyNumberFormat="1" applyFont="1"/>
    <xf numFmtId="0" fontId="4" fillId="0" borderId="11" xfId="0" applyFont="1" applyBorder="1" applyAlignment="1">
      <alignment horizontal="center" vertic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5" fillId="0" borderId="50" xfId="0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56" xfId="0" applyFont="1" applyBorder="1"/>
    <xf numFmtId="0" fontId="4" fillId="0" borderId="53" xfId="0" applyFont="1" applyBorder="1"/>
    <xf numFmtId="0" fontId="4" fillId="0" borderId="56" xfId="0" applyFont="1" applyBorder="1" applyAlignment="1">
      <alignment horizontal="center"/>
    </xf>
    <xf numFmtId="0" fontId="15" fillId="0" borderId="11" xfId="0" applyFont="1" applyBorder="1"/>
    <xf numFmtId="164" fontId="4" fillId="0" borderId="11" xfId="0" applyNumberFormat="1" applyFont="1" applyBorder="1"/>
    <xf numFmtId="0" fontId="4" fillId="0" borderId="13" xfId="0" applyFont="1" applyBorder="1"/>
    <xf numFmtId="0" fontId="4" fillId="0" borderId="23" xfId="0" applyFont="1" applyBorder="1" applyAlignment="1">
      <alignment horizontal="center"/>
    </xf>
    <xf numFmtId="0" fontId="4" fillId="0" borderId="58" xfId="0" applyFont="1" applyBorder="1" applyAlignment="1">
      <alignment horizontal="center" vertical="center"/>
    </xf>
    <xf numFmtId="0" fontId="4" fillId="0" borderId="58" xfId="0" applyFont="1" applyBorder="1"/>
    <xf numFmtId="0" fontId="4" fillId="0" borderId="9" xfId="0" applyFont="1" applyBorder="1"/>
    <xf numFmtId="167" fontId="4" fillId="0" borderId="58" xfId="3" applyNumberFormat="1" applyFont="1" applyBorder="1"/>
    <xf numFmtId="0" fontId="4" fillId="0" borderId="12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/>
    <xf numFmtId="0" fontId="4" fillId="0" borderId="49" xfId="0" applyFont="1" applyBorder="1"/>
    <xf numFmtId="0" fontId="4" fillId="0" borderId="56" xfId="0" applyFont="1" applyBorder="1" applyAlignment="1">
      <alignment horizontal="right"/>
    </xf>
    <xf numFmtId="0" fontId="4" fillId="0" borderId="24" xfId="0" applyFont="1" applyBorder="1"/>
    <xf numFmtId="44" fontId="3" fillId="0" borderId="0" xfId="0" applyNumberFormat="1" applyFont="1" applyAlignment="1">
      <alignment horizontal="center" vertical="center"/>
    </xf>
    <xf numFmtId="44" fontId="4" fillId="0" borderId="4" xfId="0" applyNumberFormat="1" applyFont="1" applyBorder="1"/>
    <xf numFmtId="44" fontId="4" fillId="0" borderId="59" xfId="0" applyNumberFormat="1" applyFont="1" applyBorder="1"/>
    <xf numFmtId="44" fontId="4" fillId="0" borderId="47" xfId="0" applyNumberFormat="1" applyFont="1" applyBorder="1"/>
    <xf numFmtId="44" fontId="4" fillId="0" borderId="23" xfId="0" applyNumberFormat="1" applyFont="1" applyBorder="1"/>
    <xf numFmtId="44" fontId="4" fillId="0" borderId="58" xfId="0" applyNumberFormat="1" applyFont="1" applyBorder="1"/>
    <xf numFmtId="44" fontId="15" fillId="0" borderId="13" xfId="0" applyNumberFormat="1" applyFont="1" applyBorder="1"/>
    <xf numFmtId="44" fontId="15" fillId="0" borderId="0" xfId="0" applyNumberFormat="1" applyFont="1"/>
    <xf numFmtId="44" fontId="4" fillId="0" borderId="13" xfId="0" applyNumberFormat="1" applyFont="1" applyBorder="1"/>
    <xf numFmtId="44" fontId="4" fillId="0" borderId="10" xfId="0" applyNumberFormat="1" applyFont="1" applyBorder="1"/>
    <xf numFmtId="44" fontId="4" fillId="0" borderId="15" xfId="0" applyNumberFormat="1" applyFont="1" applyBorder="1"/>
    <xf numFmtId="9" fontId="4" fillId="0" borderId="0" xfId="0" applyNumberFormat="1" applyFont="1"/>
    <xf numFmtId="9" fontId="4" fillId="0" borderId="58" xfId="0" applyNumberFormat="1" applyFont="1" applyBorder="1"/>
    <xf numFmtId="44" fontId="4" fillId="0" borderId="60" xfId="0" applyNumberFormat="1" applyFont="1" applyBorder="1"/>
    <xf numFmtId="44" fontId="4" fillId="0" borderId="61" xfId="0" applyNumberFormat="1" applyFont="1" applyBorder="1"/>
    <xf numFmtId="0" fontId="0" fillId="9" borderId="53" xfId="0" applyFill="1" applyBorder="1"/>
    <xf numFmtId="0" fontId="5" fillId="9" borderId="56" xfId="0" applyFont="1" applyFill="1" applyBorder="1" applyAlignment="1">
      <alignment horizontal="right" vertical="center"/>
    </xf>
    <xf numFmtId="0" fontId="5" fillId="9" borderId="56" xfId="0" applyFont="1" applyFill="1" applyBorder="1" applyAlignment="1">
      <alignment vertical="center"/>
    </xf>
    <xf numFmtId="44" fontId="4" fillId="9" borderId="24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left"/>
    </xf>
    <xf numFmtId="164" fontId="4" fillId="0" borderId="23" xfId="0" applyNumberFormat="1" applyFont="1" applyBorder="1" applyAlignment="1">
      <alignment horizontal="center"/>
    </xf>
    <xf numFmtId="164" fontId="4" fillId="0" borderId="23" xfId="0" applyNumberFormat="1" applyFont="1" applyBorder="1"/>
    <xf numFmtId="0" fontId="16" fillId="0" borderId="23" xfId="0" applyFont="1" applyBorder="1"/>
    <xf numFmtId="44" fontId="4" fillId="0" borderId="47" xfId="0" applyNumberFormat="1" applyFont="1" applyBorder="1" applyAlignment="1">
      <alignment horizontal="center"/>
    </xf>
    <xf numFmtId="44" fontId="4" fillId="0" borderId="49" xfId="0" applyNumberFormat="1" applyFont="1" applyBorder="1" applyAlignment="1">
      <alignment horizontal="center"/>
    </xf>
    <xf numFmtId="0" fontId="4" fillId="0" borderId="45" xfId="0" applyFont="1" applyBorder="1" applyAlignment="1">
      <alignment horizontal="left"/>
    </xf>
    <xf numFmtId="0" fontId="4" fillId="0" borderId="48" xfId="0" applyFont="1" applyBorder="1" applyAlignment="1">
      <alignment horizontal="left"/>
    </xf>
    <xf numFmtId="10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44" fontId="4" fillId="9" borderId="14" xfId="0" applyNumberFormat="1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4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44" fontId="3" fillId="0" borderId="4" xfId="0" applyNumberFormat="1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4" fontId="3" fillId="5" borderId="4" xfId="0" applyNumberFormat="1" applyFont="1" applyFill="1" applyBorder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44" fontId="3" fillId="5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51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4" fillId="4" borderId="0" xfId="0" applyFont="1" applyFill="1" applyAlignment="1">
      <alignment horizontal="center"/>
    </xf>
    <xf numFmtId="44" fontId="3" fillId="0" borderId="0" xfId="0" applyNumberFormat="1" applyFont="1" applyAlignment="1">
      <alignment horizontal="center"/>
    </xf>
    <xf numFmtId="44" fontId="3" fillId="0" borderId="4" xfId="0" applyNumberFormat="1" applyFont="1" applyBorder="1" applyAlignment="1">
      <alignment horizontal="center"/>
    </xf>
    <xf numFmtId="0" fontId="5" fillId="0" borderId="51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0" fillId="0" borderId="0" xfId="0"/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16" fontId="0" fillId="0" borderId="0" xfId="0" quotePrefix="1" applyNumberFormat="1"/>
    <xf numFmtId="0" fontId="22" fillId="0" borderId="0" xfId="0" applyFont="1" applyBorder="1" applyAlignment="1">
      <alignment horizontal="center" vertical="center"/>
    </xf>
    <xf numFmtId="9" fontId="22" fillId="0" borderId="0" xfId="0" applyNumberFormat="1" applyFont="1" applyBorder="1" applyAlignment="1">
      <alignment horizontal="center" vertical="center"/>
    </xf>
    <xf numFmtId="164" fontId="8" fillId="0" borderId="0" xfId="0" applyNumberFormat="1" applyFont="1" applyBorder="1"/>
    <xf numFmtId="0" fontId="8" fillId="6" borderId="3" xfId="0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/>
    </xf>
    <xf numFmtId="0" fontId="4" fillId="6" borderId="4" xfId="0" applyFont="1" applyFill="1" applyBorder="1"/>
    <xf numFmtId="0" fontId="4" fillId="6" borderId="4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 vertical="center"/>
    </xf>
    <xf numFmtId="44" fontId="8" fillId="6" borderId="36" xfId="0" applyNumberFormat="1" applyFont="1" applyFill="1" applyBorder="1" applyAlignment="1">
      <alignment horizontal="center"/>
    </xf>
    <xf numFmtId="0" fontId="4" fillId="0" borderId="44" xfId="0" applyFont="1" applyBorder="1" applyAlignment="1">
      <alignment horizontal="left"/>
    </xf>
    <xf numFmtId="0" fontId="0" fillId="0" borderId="15" xfId="0" applyBorder="1"/>
    <xf numFmtId="164" fontId="4" fillId="0" borderId="15" xfId="0" applyNumberFormat="1" applyFont="1" applyBorder="1" applyAlignment="1">
      <alignment horizontal="center"/>
    </xf>
    <xf numFmtId="44" fontId="4" fillId="0" borderId="46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/>
    <xf numFmtId="164" fontId="4" fillId="0" borderId="0" xfId="0" applyNumberFormat="1" applyFont="1" applyBorder="1" applyAlignment="1">
      <alignment horizontal="center"/>
    </xf>
    <xf numFmtId="164" fontId="4" fillId="0" borderId="0" xfId="0" applyNumberFormat="1" applyFont="1" applyBorder="1"/>
    <xf numFmtId="0" fontId="16" fillId="0" borderId="0" xfId="0" applyFont="1" applyBorder="1"/>
    <xf numFmtId="0" fontId="0" fillId="0" borderId="0" xfId="0" applyBorder="1"/>
    <xf numFmtId="0" fontId="0" fillId="0" borderId="45" xfId="0" applyBorder="1"/>
    <xf numFmtId="0" fontId="0" fillId="0" borderId="47" xfId="0" applyBorder="1"/>
    <xf numFmtId="0" fontId="0" fillId="0" borderId="0" xfId="0" applyAlignment="1">
      <alignment horizontal="left"/>
    </xf>
    <xf numFmtId="0" fontId="0" fillId="0" borderId="0" xfId="0" applyNumberFormat="1"/>
    <xf numFmtId="0" fontId="23" fillId="0" borderId="0" xfId="0" applyNumberFormat="1" applyFont="1" applyAlignment="1">
      <alignment horizontal="center"/>
    </xf>
    <xf numFmtId="44" fontId="23" fillId="0" borderId="0" xfId="0" applyNumberFormat="1" applyFont="1"/>
    <xf numFmtId="0" fontId="26" fillId="0" borderId="0" xfId="0" applyFont="1"/>
    <xf numFmtId="0" fontId="0" fillId="6" borderId="0" xfId="0" applyFill="1"/>
    <xf numFmtId="0" fontId="26" fillId="0" borderId="0" xfId="0" applyFont="1" applyAlignment="1">
      <alignment horizontal="left"/>
    </xf>
    <xf numFmtId="16" fontId="0" fillId="6" borderId="0" xfId="0" quotePrefix="1" applyNumberFormat="1" applyFill="1" applyAlignment="1">
      <alignment horizontal="center"/>
    </xf>
    <xf numFmtId="44" fontId="0" fillId="0" borderId="0" xfId="0" applyNumberFormat="1" applyAlignment="1">
      <alignment horizontal="center"/>
    </xf>
    <xf numFmtId="44" fontId="0" fillId="0" borderId="0" xfId="0" applyNumberFormat="1" applyAlignment="1">
      <alignment horizontal="left"/>
    </xf>
    <xf numFmtId="44" fontId="27" fillId="0" borderId="0" xfId="0" quotePrefix="1" applyNumberFormat="1" applyFont="1"/>
    <xf numFmtId="0" fontId="23" fillId="0" borderId="0" xfId="0" applyFont="1" applyAlignment="1">
      <alignment horizontal="center"/>
    </xf>
    <xf numFmtId="0" fontId="26" fillId="6" borderId="0" xfId="0" applyFont="1" applyFill="1"/>
    <xf numFmtId="0" fontId="0" fillId="6" borderId="0" xfId="0" applyFill="1" applyAlignment="1">
      <alignment horizontal="center"/>
    </xf>
    <xf numFmtId="0" fontId="23" fillId="6" borderId="0" xfId="0" applyFont="1" applyFill="1" applyAlignment="1">
      <alignment horizontal="center"/>
    </xf>
    <xf numFmtId="44" fontId="23" fillId="6" borderId="0" xfId="0" applyNumberFormat="1" applyFont="1" applyFill="1" applyAlignment="1">
      <alignment horizontal="center"/>
    </xf>
    <xf numFmtId="44" fontId="0" fillId="6" borderId="0" xfId="0" applyNumberFormat="1" applyFill="1" applyAlignment="1">
      <alignment horizontal="center"/>
    </xf>
    <xf numFmtId="44" fontId="0" fillId="6" borderId="0" xfId="0" applyNumberFormat="1" applyFill="1"/>
    <xf numFmtId="44" fontId="0" fillId="6" borderId="0" xfId="0" applyNumberFormat="1" applyFill="1" applyAlignment="1">
      <alignment horizontal="left"/>
    </xf>
    <xf numFmtId="44" fontId="27" fillId="6" borderId="0" xfId="0" quotePrefix="1" applyNumberFormat="1" applyFont="1" applyFill="1"/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514350</xdr:colOff>
      <xdr:row>0</xdr:row>
      <xdr:rowOff>164246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164246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67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O46"/>
  <sheetViews>
    <sheetView topLeftCell="A10" workbookViewId="0">
      <selection activeCell="F32" sqref="F32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6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19" style="1" bestFit="1" customWidth="1"/>
    <col min="11" max="11" width="17.140625" style="1" customWidth="1"/>
    <col min="12" max="12" width="15.42578125" style="1" bestFit="1" customWidth="1"/>
    <col min="13" max="13" width="17.5703125" style="1" bestFit="1" customWidth="1"/>
    <col min="14" max="14" width="17.7109375" style="1" bestFit="1" customWidth="1"/>
    <col min="15" max="15" width="19.28515625" style="1" bestFit="1" customWidth="1"/>
    <col min="16" max="16" width="25.42578125" style="1" customWidth="1"/>
    <col min="17" max="16384" width="9.140625" style="1"/>
  </cols>
  <sheetData>
    <row r="1" spans="1:11" x14ac:dyDescent="0.3">
      <c r="A1" s="290"/>
      <c r="B1" s="290"/>
      <c r="C1" s="290"/>
      <c r="D1" s="290"/>
      <c r="E1" s="290"/>
      <c r="F1" s="290"/>
      <c r="G1" s="290"/>
      <c r="H1" s="290"/>
      <c r="I1" s="290"/>
      <c r="J1" s="290"/>
    </row>
    <row r="2" spans="1:11" x14ac:dyDescent="0.3">
      <c r="A2" s="290"/>
      <c r="B2" s="290"/>
      <c r="C2" s="290"/>
      <c r="D2" s="290"/>
      <c r="E2" s="290"/>
      <c r="F2" s="290"/>
      <c r="G2" s="290"/>
      <c r="H2" s="290"/>
      <c r="I2" s="290"/>
      <c r="J2" s="290"/>
    </row>
    <row r="3" spans="1:11" x14ac:dyDescent="0.3">
      <c r="A3" s="290"/>
      <c r="B3" s="290"/>
      <c r="C3" s="290"/>
      <c r="D3" s="290"/>
      <c r="E3" s="290"/>
      <c r="F3" s="290"/>
      <c r="G3" s="290"/>
      <c r="H3" s="290"/>
      <c r="I3" s="290"/>
      <c r="J3" s="290"/>
    </row>
    <row r="4" spans="1:11" x14ac:dyDescent="0.3">
      <c r="A4" s="290"/>
      <c r="B4" s="290"/>
      <c r="C4" s="290"/>
      <c r="D4" s="290"/>
      <c r="E4" s="290"/>
      <c r="F4" s="290"/>
      <c r="G4" s="290"/>
      <c r="H4" s="290"/>
      <c r="I4" s="290"/>
      <c r="J4" s="290"/>
    </row>
    <row r="5" spans="1:11" x14ac:dyDescent="0.3">
      <c r="A5" s="290"/>
      <c r="B5" s="290"/>
      <c r="C5" s="290"/>
      <c r="D5" s="290"/>
      <c r="E5" s="290"/>
      <c r="F5" s="290"/>
      <c r="G5" s="290"/>
      <c r="H5" s="290"/>
      <c r="I5" s="290"/>
      <c r="J5" s="290"/>
    </row>
    <row r="6" spans="1:11" x14ac:dyDescent="0.3">
      <c r="A6" s="290"/>
      <c r="B6" s="290"/>
      <c r="C6" s="290"/>
      <c r="D6" s="290"/>
      <c r="E6" s="290"/>
      <c r="F6" s="290"/>
      <c r="G6" s="290"/>
      <c r="H6" s="290"/>
      <c r="I6" s="290"/>
      <c r="J6" s="290"/>
    </row>
    <row r="7" spans="1:11" x14ac:dyDescent="0.3">
      <c r="A7" s="290"/>
      <c r="B7" s="290"/>
      <c r="C7" s="290"/>
      <c r="D7" s="290"/>
      <c r="E7" s="290"/>
      <c r="F7" s="290"/>
      <c r="G7" s="290"/>
      <c r="H7" s="290"/>
      <c r="I7" s="290"/>
      <c r="J7" s="290"/>
    </row>
    <row r="8" spans="1:11" x14ac:dyDescent="0.3">
      <c r="A8" s="290"/>
      <c r="B8" s="290"/>
      <c r="C8" s="290"/>
      <c r="D8" s="290"/>
      <c r="E8" s="290"/>
      <c r="F8" s="290"/>
      <c r="G8" s="290"/>
      <c r="H8" s="290"/>
      <c r="I8" s="290"/>
      <c r="J8" s="290"/>
    </row>
    <row r="9" spans="1:11" x14ac:dyDescent="0.3">
      <c r="A9" s="290"/>
      <c r="B9" s="290"/>
      <c r="C9" s="290"/>
      <c r="D9" s="290"/>
      <c r="E9" s="290"/>
      <c r="F9" s="290"/>
      <c r="G9" s="290"/>
      <c r="H9" s="290"/>
      <c r="I9" s="290"/>
      <c r="J9" s="290"/>
    </row>
    <row r="10" spans="1:11" x14ac:dyDescent="0.3">
      <c r="A10" s="290"/>
      <c r="B10" s="290"/>
      <c r="C10" s="290"/>
      <c r="D10" s="290"/>
      <c r="E10" s="290"/>
      <c r="F10" s="290"/>
      <c r="G10" s="290"/>
      <c r="H10" s="290"/>
      <c r="I10" s="290"/>
      <c r="J10" s="290"/>
    </row>
    <row r="11" spans="1:11" ht="21" thickBot="1" x14ac:dyDescent="0.35">
      <c r="A11" s="274" t="s">
        <v>5</v>
      </c>
      <c r="B11" s="275"/>
      <c r="C11" s="275"/>
      <c r="D11" s="275"/>
      <c r="E11" s="275"/>
      <c r="F11" s="275"/>
      <c r="G11" s="275"/>
      <c r="H11" s="275"/>
      <c r="I11" s="275"/>
      <c r="J11" s="275"/>
    </row>
    <row r="12" spans="1:11" ht="18.75" customHeight="1" thickBot="1" x14ac:dyDescent="0.35">
      <c r="A12" s="220" t="s">
        <v>88</v>
      </c>
      <c r="B12" s="221" t="s">
        <v>1</v>
      </c>
      <c r="C12" s="219" t="s">
        <v>0</v>
      </c>
      <c r="D12" s="223" t="s">
        <v>115</v>
      </c>
      <c r="E12" s="293" t="s">
        <v>9</v>
      </c>
      <c r="F12" s="297"/>
      <c r="G12" s="294"/>
      <c r="H12" s="293" t="s">
        <v>4</v>
      </c>
      <c r="I12" s="294"/>
      <c r="J12" s="219" t="s">
        <v>130</v>
      </c>
    </row>
    <row r="13" spans="1:11" x14ac:dyDescent="0.3">
      <c r="A13" s="215">
        <v>1</v>
      </c>
      <c r="B13" s="225" t="s">
        <v>131</v>
      </c>
      <c r="C13" s="111" t="s">
        <v>2</v>
      </c>
      <c r="D13" s="217">
        <v>40000</v>
      </c>
      <c r="E13" s="295">
        <v>0.1</v>
      </c>
      <c r="F13" s="295"/>
      <c r="G13" s="217">
        <f>D13*E13</f>
        <v>4000</v>
      </c>
      <c r="H13" s="292">
        <f>D13+G13</f>
        <v>44000</v>
      </c>
      <c r="I13" s="292"/>
      <c r="J13" s="111">
        <v>2</v>
      </c>
    </row>
    <row r="14" spans="1:11" x14ac:dyDescent="0.3">
      <c r="A14" s="215">
        <v>2</v>
      </c>
      <c r="B14" s="111" t="s">
        <v>92</v>
      </c>
      <c r="C14" s="111" t="s">
        <v>91</v>
      </c>
      <c r="D14" s="216">
        <v>24000</v>
      </c>
      <c r="E14" s="296">
        <v>0.1</v>
      </c>
      <c r="F14" s="296"/>
      <c r="G14" s="217">
        <f>D14*E14</f>
        <v>2400</v>
      </c>
      <c r="H14" s="291">
        <f>D14+G14</f>
        <v>26400</v>
      </c>
      <c r="I14" s="291"/>
      <c r="J14" s="111">
        <v>1</v>
      </c>
    </row>
    <row r="15" spans="1:11" x14ac:dyDescent="0.3">
      <c r="A15" s="215"/>
      <c r="B15" s="111"/>
      <c r="C15" s="111"/>
      <c r="D15" s="216"/>
      <c r="E15" s="283"/>
      <c r="F15" s="283"/>
      <c r="G15" s="217"/>
      <c r="H15" s="291"/>
      <c r="I15" s="291"/>
      <c r="J15" s="111"/>
    </row>
    <row r="16" spans="1:11" x14ac:dyDescent="0.3">
      <c r="A16" s="4"/>
      <c r="E16" s="285"/>
      <c r="F16" s="285"/>
      <c r="H16" s="285"/>
      <c r="I16" s="285"/>
      <c r="K16"/>
    </row>
    <row r="17" spans="1:15" ht="21" thickBot="1" x14ac:dyDescent="0.35">
      <c r="A17" s="276" t="s">
        <v>6</v>
      </c>
      <c r="B17" s="276"/>
      <c r="C17" s="276"/>
      <c r="D17" s="276"/>
      <c r="E17" s="276"/>
      <c r="F17" s="276"/>
      <c r="G17" s="276"/>
      <c r="H17" s="276"/>
      <c r="I17" s="276"/>
      <c r="J17" s="276"/>
      <c r="K17"/>
    </row>
    <row r="18" spans="1:15" ht="18" thickBot="1" x14ac:dyDescent="0.35">
      <c r="A18" s="218" t="s">
        <v>88</v>
      </c>
      <c r="B18" s="222" t="s">
        <v>7</v>
      </c>
      <c r="C18" s="277" t="s">
        <v>10</v>
      </c>
      <c r="D18" s="278"/>
      <c r="E18" s="288" t="s">
        <v>8</v>
      </c>
      <c r="F18" s="289"/>
      <c r="G18" s="280" t="s">
        <v>11</v>
      </c>
      <c r="H18" s="281"/>
      <c r="I18" s="281"/>
      <c r="J18" s="281"/>
      <c r="K18"/>
    </row>
    <row r="19" spans="1:15" x14ac:dyDescent="0.3">
      <c r="A19" s="215">
        <v>1</v>
      </c>
      <c r="B19" s="224">
        <v>21</v>
      </c>
      <c r="C19" s="279">
        <f>D45</f>
        <v>6240.323166666667</v>
      </c>
      <c r="D19" s="279"/>
      <c r="E19" s="286">
        <v>8</v>
      </c>
      <c r="F19" s="286"/>
      <c r="G19" s="282">
        <f>ROUNDUP(C19/E19,-0.1)</f>
        <v>781</v>
      </c>
      <c r="H19" s="282"/>
      <c r="I19" s="282"/>
      <c r="J19" s="282"/>
      <c r="K19" s="111"/>
    </row>
    <row r="20" spans="1:15" x14ac:dyDescent="0.3">
      <c r="A20" s="215">
        <v>2</v>
      </c>
      <c r="B20" s="224">
        <v>21</v>
      </c>
      <c r="C20" s="283">
        <f ca="1">J45</f>
        <v>5167.8</v>
      </c>
      <c r="D20" s="283"/>
      <c r="E20" s="287">
        <v>8</v>
      </c>
      <c r="F20" s="287"/>
      <c r="G20" s="284">
        <f ca="1">ROUNDUP(C20/E20,-1)</f>
        <v>650</v>
      </c>
      <c r="H20" s="284"/>
      <c r="I20" s="284"/>
      <c r="J20" s="284"/>
      <c r="K20" s="111"/>
    </row>
    <row r="21" spans="1:15" x14ac:dyDescent="0.3">
      <c r="A21" s="4"/>
      <c r="E21" s="285"/>
      <c r="F21" s="285"/>
      <c r="K21"/>
    </row>
    <row r="22" spans="1:15" ht="21" thickBot="1" x14ac:dyDescent="0.35">
      <c r="A22" s="274" t="s">
        <v>132</v>
      </c>
      <c r="B22" s="275"/>
      <c r="C22" s="275"/>
      <c r="D22" s="275"/>
      <c r="E22" s="275"/>
      <c r="F22" s="275"/>
      <c r="G22" s="275"/>
      <c r="H22" s="275"/>
      <c r="I22" s="275"/>
      <c r="J22" s="275"/>
      <c r="K22"/>
    </row>
    <row r="23" spans="1:15" ht="18" thickBot="1" x14ac:dyDescent="0.35">
      <c r="A23" s="218"/>
      <c r="B23" s="237" t="s">
        <v>133</v>
      </c>
      <c r="C23" s="237"/>
      <c r="D23" s="237" t="s">
        <v>3</v>
      </c>
      <c r="E23" s="237"/>
      <c r="F23" s="6"/>
      <c r="G23" s="6"/>
      <c r="H23" s="6"/>
      <c r="I23" s="6"/>
      <c r="J23" s="231"/>
    </row>
    <row r="24" spans="1:15" x14ac:dyDescent="0.3">
      <c r="A24" s="239">
        <v>1</v>
      </c>
      <c r="B24" s="14" t="s">
        <v>134</v>
      </c>
      <c r="C24" s="14"/>
      <c r="D24" s="245">
        <v>9510</v>
      </c>
      <c r="E24" s="246"/>
      <c r="F24" s="238">
        <v>1</v>
      </c>
      <c r="G24" s="1" t="s">
        <v>162</v>
      </c>
      <c r="I24" s="255">
        <v>1</v>
      </c>
      <c r="J24" s="247">
        <f ca="1">SUMIF($L$33:$O$42,G24,$O$33:$O$42)*$I$24</f>
        <v>750</v>
      </c>
      <c r="L24" s="1" t="s">
        <v>151</v>
      </c>
    </row>
    <row r="25" spans="1:15" x14ac:dyDescent="0.3">
      <c r="A25" s="4">
        <v>2</v>
      </c>
      <c r="B25" s="1" t="s">
        <v>135</v>
      </c>
      <c r="D25" s="209">
        <v>1000</v>
      </c>
      <c r="E25" s="247"/>
      <c r="F25" s="238">
        <v>2</v>
      </c>
      <c r="G25" s="1" t="s">
        <v>163</v>
      </c>
      <c r="I25" s="255">
        <v>1</v>
      </c>
      <c r="J25" s="247">
        <f ca="1">SUMIF($L$33:$O$43,G25,$O$33:$O$43)*$I$25</f>
        <v>350</v>
      </c>
      <c r="L25" s="227" t="s">
        <v>152</v>
      </c>
      <c r="M25" s="242" t="s">
        <v>153</v>
      </c>
      <c r="N25" s="228" t="s">
        <v>4</v>
      </c>
      <c r="O25" s="243" t="s">
        <v>154</v>
      </c>
    </row>
    <row r="26" spans="1:15" x14ac:dyDescent="0.3">
      <c r="A26" s="4">
        <v>3</v>
      </c>
      <c r="B26" s="1" t="s">
        <v>137</v>
      </c>
      <c r="D26" s="209">
        <v>3830</v>
      </c>
      <c r="E26" s="247"/>
      <c r="F26" s="238">
        <v>3</v>
      </c>
      <c r="G26" s="1" t="s">
        <v>134</v>
      </c>
      <c r="I26" s="255">
        <v>0.3</v>
      </c>
      <c r="J26" s="247">
        <f ca="1">SUMIF($B$24:$D$36,G26,$D$24:$D$36)*I26</f>
        <v>2853</v>
      </c>
      <c r="L26" s="171" t="s">
        <v>159</v>
      </c>
      <c r="M26" s="240">
        <v>12</v>
      </c>
      <c r="N26" s="254">
        <f>9000*C41</f>
        <v>18000</v>
      </c>
      <c r="O26" s="213">
        <f>N26/M26</f>
        <v>1500</v>
      </c>
    </row>
    <row r="27" spans="1:15" x14ac:dyDescent="0.3">
      <c r="A27" s="4">
        <v>4</v>
      </c>
      <c r="B27" s="1" t="s">
        <v>138</v>
      </c>
      <c r="D27" s="209">
        <v>600</v>
      </c>
      <c r="E27" s="247"/>
      <c r="F27" s="238">
        <v>4</v>
      </c>
      <c r="G27" s="1" t="s">
        <v>135</v>
      </c>
      <c r="I27" s="255">
        <v>0.3</v>
      </c>
      <c r="J27" s="247">
        <f ca="1">SUMIF($B$24:$D$36,G27,$D$24:$D$36)*I27</f>
        <v>300</v>
      </c>
      <c r="L27" s="75" t="s">
        <v>155</v>
      </c>
      <c r="M27" s="1">
        <v>12</v>
      </c>
      <c r="N27" s="209">
        <v>13200</v>
      </c>
      <c r="O27" s="247">
        <f>N27/M27</f>
        <v>1100</v>
      </c>
    </row>
    <row r="28" spans="1:15" x14ac:dyDescent="0.3">
      <c r="A28" s="4">
        <v>5</v>
      </c>
      <c r="B28" s="1" t="s">
        <v>139</v>
      </c>
      <c r="D28" s="209">
        <v>770</v>
      </c>
      <c r="E28" s="247"/>
      <c r="F28" s="238">
        <v>5</v>
      </c>
      <c r="G28" s="1" t="s">
        <v>138</v>
      </c>
      <c r="I28" s="255">
        <v>0.3</v>
      </c>
      <c r="J28" s="247">
        <f ca="1">SUMIF($B$24:$D$36,G28,$D$24:$D$36)*I28</f>
        <v>180</v>
      </c>
      <c r="L28" s="75" t="s">
        <v>156</v>
      </c>
      <c r="M28" s="1">
        <v>12</v>
      </c>
      <c r="N28" s="209">
        <v>1600</v>
      </c>
      <c r="O28" s="247">
        <f>N28/M28</f>
        <v>133.33333333333334</v>
      </c>
    </row>
    <row r="29" spans="1:15" x14ac:dyDescent="0.3">
      <c r="A29" s="4">
        <v>6</v>
      </c>
      <c r="B29" s="1" t="s">
        <v>140</v>
      </c>
      <c r="D29" s="209">
        <f>700*4*2</f>
        <v>5600</v>
      </c>
      <c r="E29" s="247"/>
      <c r="F29" s="238">
        <v>6</v>
      </c>
      <c r="G29" s="1" t="s">
        <v>139</v>
      </c>
      <c r="I29" s="255">
        <v>0.3</v>
      </c>
      <c r="J29" s="247">
        <f ca="1">SUMIF($B$24:$D$36,G29,$D$24:$D$36)*I29</f>
        <v>231</v>
      </c>
      <c r="L29" s="175" t="s">
        <v>157</v>
      </c>
      <c r="M29" s="176">
        <v>12</v>
      </c>
      <c r="N29" s="176"/>
      <c r="O29" s="241"/>
    </row>
    <row r="30" spans="1:15" x14ac:dyDescent="0.3">
      <c r="A30" s="4">
        <v>7</v>
      </c>
      <c r="B30" s="1" t="s">
        <v>141</v>
      </c>
      <c r="D30" s="209">
        <v>4000</v>
      </c>
      <c r="E30" s="247"/>
      <c r="J30" s="174"/>
      <c r="L30" s="227"/>
      <c r="M30" s="226"/>
      <c r="N30" s="226" t="s">
        <v>3</v>
      </c>
      <c r="O30" s="208">
        <f>SUM(O26:O29)</f>
        <v>2733.3333333333335</v>
      </c>
    </row>
    <row r="31" spans="1:15" x14ac:dyDescent="0.3">
      <c r="A31" s="4">
        <v>8</v>
      </c>
      <c r="B31" s="1" t="s">
        <v>142</v>
      </c>
      <c r="D31" s="209">
        <v>200</v>
      </c>
      <c r="E31" s="247"/>
      <c r="F31" s="75"/>
      <c r="J31" s="174"/>
    </row>
    <row r="32" spans="1:15" x14ac:dyDescent="0.3">
      <c r="A32" s="4">
        <v>9</v>
      </c>
      <c r="B32" s="1" t="s">
        <v>143</v>
      </c>
      <c r="D32" s="209">
        <f>O43*2</f>
        <v>700</v>
      </c>
      <c r="E32" s="247"/>
      <c r="J32" s="174"/>
      <c r="L32" s="1" t="s">
        <v>158</v>
      </c>
    </row>
    <row r="33" spans="1:15" x14ac:dyDescent="0.3">
      <c r="A33" s="4">
        <v>10</v>
      </c>
      <c r="B33" s="1" t="s">
        <v>144</v>
      </c>
      <c r="D33" s="209">
        <f>10000/12</f>
        <v>833.33333333333337</v>
      </c>
      <c r="E33" s="247"/>
      <c r="J33" s="174"/>
      <c r="L33" s="171" t="s">
        <v>159</v>
      </c>
      <c r="M33" s="240">
        <v>12</v>
      </c>
      <c r="N33" s="254">
        <f>9000</f>
        <v>9000</v>
      </c>
      <c r="O33" s="213">
        <f>N33/M33</f>
        <v>750</v>
      </c>
    </row>
    <row r="34" spans="1:15" x14ac:dyDescent="0.3">
      <c r="A34" s="3">
        <v>11</v>
      </c>
      <c r="B34" s="1" t="s">
        <v>145</v>
      </c>
      <c r="D34" s="209">
        <f>4200/12</f>
        <v>350</v>
      </c>
      <c r="E34" s="247"/>
      <c r="F34" s="75"/>
      <c r="J34" s="174"/>
      <c r="L34" s="75"/>
      <c r="M34" s="1">
        <v>12</v>
      </c>
      <c r="N34" s="209"/>
      <c r="O34" s="247">
        <f>N34/M34</f>
        <v>0</v>
      </c>
    </row>
    <row r="35" spans="1:15" x14ac:dyDescent="0.3">
      <c r="A35" s="3">
        <v>12</v>
      </c>
      <c r="B35" s="1" t="s">
        <v>146</v>
      </c>
      <c r="D35" s="209">
        <f>5200/12/2</f>
        <v>216.66666666666666</v>
      </c>
      <c r="E35" s="247"/>
      <c r="F35" s="75"/>
      <c r="G35" s="209"/>
      <c r="H35" s="209"/>
      <c r="I35" s="209"/>
      <c r="J35" s="174"/>
      <c r="L35" s="75"/>
      <c r="M35" s="1">
        <v>12</v>
      </c>
      <c r="N35" s="209"/>
      <c r="O35" s="247">
        <f>N35/M35</f>
        <v>0</v>
      </c>
    </row>
    <row r="36" spans="1:15" x14ac:dyDescent="0.3">
      <c r="A36" s="232">
        <v>13</v>
      </c>
      <c r="B36" s="176" t="s">
        <v>136</v>
      </c>
      <c r="C36" s="176"/>
      <c r="D36" s="248">
        <f>O30</f>
        <v>2733.3333333333335</v>
      </c>
      <c r="E36" s="214"/>
      <c r="F36" s="175"/>
      <c r="G36" s="248"/>
      <c r="H36" s="248"/>
      <c r="I36" s="248"/>
      <c r="J36" s="214"/>
      <c r="L36" s="75"/>
      <c r="M36" s="1">
        <v>12</v>
      </c>
      <c r="N36" s="209"/>
      <c r="O36" s="247">
        <f>N36/M36</f>
        <v>0</v>
      </c>
    </row>
    <row r="37" spans="1:15" x14ac:dyDescent="0.3">
      <c r="A37" s="3"/>
      <c r="D37" s="209"/>
      <c r="E37" s="209"/>
      <c r="G37" s="209"/>
      <c r="H37" s="209"/>
      <c r="I37" s="209"/>
      <c r="J37" s="209"/>
      <c r="L37" s="227" t="s">
        <v>162</v>
      </c>
      <c r="M37" s="226"/>
      <c r="N37" s="226"/>
      <c r="O37" s="208">
        <f>SUM(O33:O36)</f>
        <v>750</v>
      </c>
    </row>
    <row r="38" spans="1:15" x14ac:dyDescent="0.3">
      <c r="A38" s="3"/>
      <c r="B38" s="69" t="s">
        <v>164</v>
      </c>
      <c r="D38" s="209">
        <f>SUM(D24:D36)</f>
        <v>30343.333333333332</v>
      </c>
      <c r="E38" s="209"/>
      <c r="G38" s="69" t="s">
        <v>164</v>
      </c>
      <c r="H38" s="209"/>
      <c r="I38" s="209"/>
      <c r="J38" s="209">
        <f ca="1">SUM(J24:J36)</f>
        <v>4664</v>
      </c>
    </row>
    <row r="39" spans="1:15" ht="18" thickBot="1" x14ac:dyDescent="0.35">
      <c r="A39" s="233"/>
      <c r="B39" s="234" t="s">
        <v>147</v>
      </c>
      <c r="C39" s="236">
        <v>0.21299999999999999</v>
      </c>
      <c r="D39" s="249">
        <f>SUM(D38)*(1+C39)</f>
        <v>36806.463333333333</v>
      </c>
      <c r="E39" s="209"/>
      <c r="F39" s="258"/>
      <c r="G39" s="234" t="s">
        <v>147</v>
      </c>
      <c r="H39" s="234"/>
      <c r="I39" s="256">
        <v>15.5</v>
      </c>
      <c r="J39" s="257">
        <f ca="1">SUM(J38)*(1+I39)</f>
        <v>76956</v>
      </c>
      <c r="L39" s="1" t="s">
        <v>161</v>
      </c>
    </row>
    <row r="40" spans="1:15" ht="18" thickTop="1" x14ac:dyDescent="0.3">
      <c r="A40" s="4"/>
      <c r="C40" s="209"/>
      <c r="D40" s="209"/>
      <c r="E40" s="209"/>
      <c r="H40" s="209"/>
      <c r="I40" s="209"/>
      <c r="L40" s="171" t="s">
        <v>143</v>
      </c>
      <c r="M40" s="240">
        <v>12</v>
      </c>
      <c r="N40" s="254">
        <v>4200</v>
      </c>
      <c r="O40" s="213">
        <f>N40/M40</f>
        <v>350</v>
      </c>
    </row>
    <row r="41" spans="1:15" x14ac:dyDescent="0.3">
      <c r="A41" s="4">
        <v>1</v>
      </c>
      <c r="B41" s="1" t="s">
        <v>148</v>
      </c>
      <c r="C41" s="1">
        <f>J13</f>
        <v>2</v>
      </c>
      <c r="D41" s="209">
        <f>H13*J13</f>
        <v>88000</v>
      </c>
      <c r="E41" s="209"/>
      <c r="F41" s="3">
        <v>1</v>
      </c>
      <c r="G41" s="1" t="s">
        <v>160</v>
      </c>
      <c r="J41" s="209">
        <f>H14</f>
        <v>26400</v>
      </c>
      <c r="L41" s="75"/>
      <c r="O41" s="174"/>
    </row>
    <row r="42" spans="1:15" ht="18" thickBot="1" x14ac:dyDescent="0.35">
      <c r="A42" s="4"/>
      <c r="C42" s="209"/>
      <c r="D42" s="209"/>
      <c r="E42" s="209"/>
      <c r="L42" s="175"/>
      <c r="M42" s="176"/>
      <c r="N42" s="176"/>
      <c r="O42" s="241"/>
    </row>
    <row r="43" spans="1:15" ht="18" thickBot="1" x14ac:dyDescent="0.35">
      <c r="A43" s="4"/>
      <c r="B43" s="229" t="s">
        <v>165</v>
      </c>
      <c r="C43" s="6"/>
      <c r="D43" s="250">
        <f>D39+D41</f>
        <v>124806.46333333333</v>
      </c>
      <c r="E43" s="251"/>
      <c r="F43" s="209"/>
      <c r="G43" s="229" t="s">
        <v>165</v>
      </c>
      <c r="H43" s="6"/>
      <c r="I43" s="6"/>
      <c r="J43" s="250">
        <f ca="1">J39+J41</f>
        <v>103356</v>
      </c>
      <c r="L43" s="227" t="s">
        <v>163</v>
      </c>
      <c r="M43" s="226"/>
      <c r="N43" s="226"/>
      <c r="O43" s="208">
        <f>SUM(O40:O42)</f>
        <v>350</v>
      </c>
    </row>
    <row r="44" spans="1:15" ht="18" thickBot="1" x14ac:dyDescent="0.35">
      <c r="A44" s="4"/>
      <c r="B44" s="69"/>
      <c r="D44" s="251"/>
      <c r="E44" s="251"/>
    </row>
    <row r="45" spans="1:15" ht="18" thickBot="1" x14ac:dyDescent="0.35">
      <c r="A45" s="4"/>
      <c r="B45" s="230" t="s">
        <v>149</v>
      </c>
      <c r="C45" s="6"/>
      <c r="D45" s="252">
        <f>D43/4/5</f>
        <v>6240.323166666667</v>
      </c>
      <c r="E45" s="209"/>
      <c r="F45" s="93"/>
      <c r="G45" s="230" t="s">
        <v>149</v>
      </c>
      <c r="H45" s="6"/>
      <c r="I45" s="6"/>
      <c r="J45" s="252">
        <f ca="1">J43/4/5</f>
        <v>5167.8</v>
      </c>
    </row>
    <row r="46" spans="1:15" ht="18" thickBot="1" x14ac:dyDescent="0.35">
      <c r="A46" s="4"/>
      <c r="B46" s="87" t="s">
        <v>150</v>
      </c>
      <c r="C46" s="235"/>
      <c r="D46" s="253">
        <f>D45/8</f>
        <v>780.04039583333338</v>
      </c>
      <c r="E46" s="209"/>
      <c r="G46" s="87" t="s">
        <v>150</v>
      </c>
      <c r="H46" s="6"/>
      <c r="I46" s="6"/>
      <c r="J46" s="252">
        <f ca="1">J45/8</f>
        <v>645.97500000000002</v>
      </c>
    </row>
  </sheetData>
  <mergeCells count="24">
    <mergeCell ref="E15:F15"/>
    <mergeCell ref="E16:F16"/>
    <mergeCell ref="E18:F18"/>
    <mergeCell ref="A11:J11"/>
    <mergeCell ref="A1:J10"/>
    <mergeCell ref="H15:I15"/>
    <mergeCell ref="H16:I16"/>
    <mergeCell ref="H13:I13"/>
    <mergeCell ref="H14:I14"/>
    <mergeCell ref="H12:I12"/>
    <mergeCell ref="E13:F13"/>
    <mergeCell ref="E14:F14"/>
    <mergeCell ref="E12:G12"/>
    <mergeCell ref="A22:J22"/>
    <mergeCell ref="A17:J17"/>
    <mergeCell ref="C18:D18"/>
    <mergeCell ref="C19:D19"/>
    <mergeCell ref="G18:J18"/>
    <mergeCell ref="G19:J19"/>
    <mergeCell ref="C20:D20"/>
    <mergeCell ref="G20:J20"/>
    <mergeCell ref="E21:F21"/>
    <mergeCell ref="E19:F19"/>
    <mergeCell ref="E20:F20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129"/>
  <sheetViews>
    <sheetView topLeftCell="A18" zoomScaleNormal="100" workbookViewId="0">
      <selection activeCell="D44" sqref="D44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4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197"/>
      <c r="B1" s="197"/>
      <c r="C1" s="197"/>
      <c r="D1" s="197"/>
      <c r="E1" s="197"/>
      <c r="F1" s="197"/>
      <c r="G1" s="197"/>
      <c r="H1" s="197"/>
      <c r="I1" s="1"/>
      <c r="J1" s="1"/>
      <c r="K1" s="1"/>
      <c r="L1" s="1"/>
      <c r="M1" s="1"/>
    </row>
    <row r="2" spans="1:13" ht="17.25" x14ac:dyDescent="0.3">
      <c r="A2" s="197"/>
      <c r="B2" s="197"/>
      <c r="C2" s="197"/>
      <c r="D2" s="197"/>
      <c r="E2" s="197"/>
      <c r="F2" s="197"/>
      <c r="G2" s="197"/>
      <c r="H2" s="197"/>
      <c r="I2" s="2"/>
      <c r="J2" s="2"/>
      <c r="K2" s="1"/>
      <c r="L2" s="1"/>
      <c r="M2" s="1"/>
    </row>
    <row r="3" spans="1:13" ht="17.25" x14ac:dyDescent="0.3">
      <c r="A3" s="197"/>
      <c r="B3" s="197"/>
      <c r="C3" s="197"/>
      <c r="D3" s="197"/>
      <c r="E3" s="197"/>
      <c r="F3" s="197"/>
      <c r="G3" s="197"/>
      <c r="H3" s="197"/>
      <c r="I3" s="2"/>
      <c r="J3" s="2"/>
      <c r="K3" s="1"/>
      <c r="L3" s="1"/>
      <c r="M3" s="1"/>
    </row>
    <row r="4" spans="1:13" ht="17.25" x14ac:dyDescent="0.3">
      <c r="A4" s="197"/>
      <c r="B4" s="197"/>
      <c r="C4" s="197"/>
      <c r="D4" s="197"/>
      <c r="E4" s="197"/>
      <c r="F4" s="197"/>
      <c r="G4" s="197"/>
      <c r="H4" s="197"/>
      <c r="I4" s="2"/>
      <c r="J4" s="2"/>
      <c r="K4" s="1"/>
      <c r="L4" s="1"/>
      <c r="M4" s="1"/>
    </row>
    <row r="5" spans="1:13" ht="17.25" x14ac:dyDescent="0.3">
      <c r="A5" s="197"/>
      <c r="B5" s="197"/>
      <c r="C5" s="197"/>
      <c r="D5" s="197"/>
      <c r="E5" s="197"/>
      <c r="F5" s="197"/>
      <c r="G5" s="197"/>
      <c r="H5" s="197"/>
      <c r="I5" s="2"/>
      <c r="J5" s="2"/>
      <c r="K5" s="1"/>
      <c r="L5" s="1"/>
      <c r="M5" s="1"/>
    </row>
    <row r="6" spans="1:13" ht="17.25" x14ac:dyDescent="0.3">
      <c r="A6" s="197"/>
      <c r="B6" s="197"/>
      <c r="C6" s="197"/>
      <c r="D6" s="197"/>
      <c r="E6" s="197"/>
      <c r="F6" s="197"/>
      <c r="G6" s="197"/>
      <c r="H6" s="197"/>
      <c r="I6" s="1"/>
      <c r="J6" s="1"/>
      <c r="K6" s="1"/>
      <c r="L6" s="1"/>
      <c r="M6" s="1"/>
    </row>
    <row r="7" spans="1:13" ht="17.25" x14ac:dyDescent="0.3">
      <c r="A7" s="197"/>
      <c r="B7" s="197"/>
      <c r="C7" s="197"/>
      <c r="D7" s="197"/>
      <c r="E7" s="197"/>
      <c r="F7" s="197"/>
      <c r="G7" s="197"/>
      <c r="H7" s="197"/>
      <c r="I7" s="2"/>
      <c r="J7" s="2"/>
      <c r="K7" s="1"/>
      <c r="L7" s="1"/>
      <c r="M7" s="1"/>
    </row>
    <row r="8" spans="1:13" ht="17.25" x14ac:dyDescent="0.3">
      <c r="A8" s="197"/>
      <c r="B8" s="197"/>
      <c r="C8" s="197"/>
      <c r="D8" s="197"/>
      <c r="E8" s="197"/>
      <c r="F8" s="197"/>
      <c r="G8" s="197"/>
      <c r="H8" s="197"/>
      <c r="I8" s="2"/>
      <c r="J8" s="2"/>
      <c r="K8" s="1"/>
      <c r="L8" s="1"/>
      <c r="M8" s="1"/>
    </row>
    <row r="9" spans="1:13" ht="17.25" x14ac:dyDescent="0.3">
      <c r="A9" s="197"/>
      <c r="B9" s="197"/>
      <c r="C9" s="197"/>
      <c r="D9" s="197"/>
      <c r="E9" s="197"/>
      <c r="F9" s="197"/>
      <c r="G9" s="197"/>
      <c r="H9" s="197"/>
      <c r="I9" s="1"/>
      <c r="K9" s="3"/>
      <c r="L9" s="1"/>
      <c r="M9" s="1"/>
    </row>
    <row r="10" spans="1:13" ht="18" thickBot="1" x14ac:dyDescent="0.35">
      <c r="A10" s="197"/>
      <c r="B10" s="197"/>
      <c r="C10" s="197"/>
      <c r="D10" s="197"/>
      <c r="E10" s="197"/>
      <c r="F10" s="197"/>
      <c r="G10" s="197"/>
      <c r="H10" s="197"/>
      <c r="I10" s="2"/>
      <c r="J10" s="2"/>
      <c r="K10" s="3"/>
      <c r="L10" s="1"/>
      <c r="M10" s="1"/>
    </row>
    <row r="11" spans="1:13" ht="21" thickBot="1" x14ac:dyDescent="0.35">
      <c r="A11" s="305" t="s">
        <v>12</v>
      </c>
      <c r="B11" s="306"/>
      <c r="C11" s="306"/>
      <c r="D11" s="306"/>
      <c r="E11" s="306"/>
      <c r="F11" s="306"/>
      <c r="G11" s="306"/>
      <c r="H11" s="307"/>
      <c r="I11" s="1"/>
      <c r="J11" s="1"/>
      <c r="K11" s="3"/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308" t="s">
        <v>63</v>
      </c>
      <c r="B13" s="309"/>
      <c r="C13" s="310"/>
      <c r="D13" s="1"/>
      <c r="E13" s="4" t="s">
        <v>64</v>
      </c>
      <c r="F13" s="1"/>
      <c r="G13" s="1"/>
      <c r="H13" s="1"/>
      <c r="K13" s="1"/>
      <c r="L13" s="1"/>
      <c r="M13" s="1"/>
    </row>
    <row r="14" spans="1:13" ht="18" thickBot="1" x14ac:dyDescent="0.35">
      <c r="A14" s="311" t="s">
        <v>59</v>
      </c>
      <c r="B14" s="312"/>
      <c r="C14" s="312"/>
      <c r="D14" s="57" t="s">
        <v>61</v>
      </c>
      <c r="E14" s="57" t="s">
        <v>62</v>
      </c>
      <c r="F14" s="57" t="s">
        <v>60</v>
      </c>
      <c r="G14" s="72" t="s">
        <v>16</v>
      </c>
      <c r="H14" s="57"/>
      <c r="I14" s="1"/>
      <c r="J14" s="1"/>
      <c r="K14" s="1"/>
      <c r="M14" s="3"/>
    </row>
    <row r="15" spans="1:13" ht="18" thickBot="1" x14ac:dyDescent="0.35">
      <c r="A15" s="313" t="s">
        <v>76</v>
      </c>
      <c r="B15" s="314"/>
      <c r="C15" s="71"/>
      <c r="D15" s="71"/>
      <c r="E15" s="71"/>
      <c r="F15" s="74">
        <f>SUM(F16:F19)</f>
        <v>52</v>
      </c>
      <c r="G15" s="212">
        <f>SUM(G16:G19)</f>
        <v>6.5</v>
      </c>
      <c r="H15" s="182">
        <f ca="1">SUM(H16:H19)</f>
        <v>36944</v>
      </c>
      <c r="I15" s="1"/>
      <c r="J15" s="298" t="s">
        <v>71</v>
      </c>
      <c r="K15" s="299"/>
      <c r="L15" s="300"/>
      <c r="M15" s="148">
        <f>G15</f>
        <v>6.5</v>
      </c>
    </row>
    <row r="16" spans="1:13" ht="17.25" x14ac:dyDescent="0.3">
      <c r="A16" s="178"/>
      <c r="B16" s="304"/>
      <c r="C16" s="304"/>
      <c r="D16" s="60"/>
      <c r="E16" s="60"/>
      <c r="F16" s="3"/>
      <c r="G16" s="179"/>
      <c r="H16" s="180"/>
      <c r="I16" s="1"/>
      <c r="M16" s="3"/>
    </row>
    <row r="17" spans="1:14" ht="17.25" x14ac:dyDescent="0.3">
      <c r="A17" s="269" t="s">
        <v>168</v>
      </c>
      <c r="B17" s="1"/>
      <c r="C17" s="1"/>
      <c r="D17" s="60" t="s">
        <v>73</v>
      </c>
      <c r="E17" s="60">
        <f>IF(D17="Dewald", Employees!$G$19,IF(D17="Hannes",Employees!$G$19,IF(D17="Johan",Employees!$G$20,"")))</f>
        <v>781</v>
      </c>
      <c r="F17" s="3">
        <f>3*8</f>
        <v>24</v>
      </c>
      <c r="G17" s="179">
        <f>IF(F17="","",F17/8)</f>
        <v>3</v>
      </c>
      <c r="H17" s="180">
        <f>IF(E17="","",F17*E17)</f>
        <v>18744</v>
      </c>
      <c r="I17" s="1"/>
      <c r="M17" s="3"/>
    </row>
    <row r="18" spans="1:14" ht="18" thickBot="1" x14ac:dyDescent="0.35">
      <c r="A18" s="269" t="s">
        <v>167</v>
      </c>
      <c r="B18" s="1"/>
      <c r="C18" s="1"/>
      <c r="D18" s="60" t="s">
        <v>166</v>
      </c>
      <c r="E18" s="60">
        <f ca="1">IF(D18="Dewald", Employees!$G$19,IF(D18="Hannes",Employees!$G$19,IF(D18="Johan",Employees!$G$20,"")))</f>
        <v>650</v>
      </c>
      <c r="F18" s="3">
        <f>8*3</f>
        <v>24</v>
      </c>
      <c r="G18" s="179">
        <f>IF(F18="","",F18/8)</f>
        <v>3</v>
      </c>
      <c r="H18" s="180">
        <f ca="1">IF(E18="","",F18*E18)</f>
        <v>15600</v>
      </c>
      <c r="I18" s="1"/>
      <c r="M18" s="3"/>
    </row>
    <row r="19" spans="1:14" ht="18" thickBot="1" x14ac:dyDescent="0.35">
      <c r="A19" s="178" t="s">
        <v>77</v>
      </c>
      <c r="D19" s="60" t="s">
        <v>166</v>
      </c>
      <c r="E19" s="60">
        <f ca="1">IF(D19="Dewald", Employees!$G$19,IF(D19="Hannes",Employees!$G$19,IF(D19="Johan",Employees!$G$20,"")))</f>
        <v>650</v>
      </c>
      <c r="F19" s="3">
        <f>4</f>
        <v>4</v>
      </c>
      <c r="G19" s="179">
        <f>IF(F19="","",F19/8)</f>
        <v>0.5</v>
      </c>
      <c r="H19" s="180">
        <f ca="1">IF(E19="","",F19*E19)</f>
        <v>2600</v>
      </c>
      <c r="I19" s="1"/>
      <c r="J19" s="301" t="s">
        <v>74</v>
      </c>
      <c r="K19" s="302"/>
      <c r="L19" s="303"/>
      <c r="M19" s="103">
        <f ca="1">H30/M15</f>
        <v>5683.6923076923076</v>
      </c>
    </row>
    <row r="20" spans="1:14" ht="18" thickBot="1" x14ac:dyDescent="0.35">
      <c r="I20" s="1"/>
      <c r="M20" s="94"/>
    </row>
    <row r="21" spans="1:14" ht="18" thickBot="1" x14ac:dyDescent="0.35">
      <c r="A21" s="313"/>
      <c r="B21" s="314"/>
      <c r="C21" s="71"/>
      <c r="D21" s="71"/>
      <c r="E21" s="71"/>
      <c r="F21" s="74"/>
      <c r="G21" s="212"/>
      <c r="H21" s="182"/>
      <c r="I21" s="1"/>
      <c r="M21" s="94"/>
    </row>
    <row r="22" spans="1:14" ht="17.25" x14ac:dyDescent="0.3">
      <c r="A22" s="269"/>
      <c r="B22" s="1"/>
      <c r="C22" s="1"/>
      <c r="D22" s="60"/>
      <c r="E22" s="60"/>
      <c r="F22" s="3"/>
      <c r="G22" s="179"/>
      <c r="H22" s="180"/>
      <c r="I22" s="1"/>
      <c r="M22" s="94"/>
    </row>
    <row r="23" spans="1:14" ht="17.25" x14ac:dyDescent="0.3">
      <c r="A23" s="269"/>
      <c r="B23" s="1"/>
      <c r="C23" s="1"/>
      <c r="D23" s="60"/>
      <c r="E23" s="60"/>
      <c r="F23" s="3"/>
      <c r="G23" s="179"/>
      <c r="H23" s="180"/>
      <c r="I23" s="1"/>
      <c r="M23" s="94"/>
    </row>
    <row r="24" spans="1:14" ht="17.25" x14ac:dyDescent="0.3">
      <c r="A24" s="178"/>
      <c r="D24" s="60"/>
      <c r="E24" s="60"/>
      <c r="F24" s="3"/>
      <c r="G24" s="179"/>
      <c r="H24" s="180"/>
      <c r="I24" s="1"/>
      <c r="M24" s="94"/>
    </row>
    <row r="25" spans="1:14" ht="17.25" x14ac:dyDescent="0.3">
      <c r="I25" s="1"/>
      <c r="M25" s="94"/>
    </row>
    <row r="26" spans="1:14" ht="18" thickBot="1" x14ac:dyDescent="0.35">
      <c r="I26" s="1"/>
    </row>
    <row r="27" spans="1:14" ht="18" thickBot="1" x14ac:dyDescent="0.35">
      <c r="G27" s="179" t="str">
        <f t="shared" ref="G27" si="0">IF(F27="","",F27/8)</f>
        <v/>
      </c>
      <c r="H27" s="155"/>
      <c r="I27" s="1"/>
      <c r="J27" s="98" t="s">
        <v>89</v>
      </c>
      <c r="K27" s="100" t="s">
        <v>83</v>
      </c>
      <c r="L27" s="101" t="s">
        <v>78</v>
      </c>
      <c r="M27" s="102" t="s">
        <v>81</v>
      </c>
      <c r="N27" s="99" t="s">
        <v>79</v>
      </c>
    </row>
    <row r="28" spans="1:14" ht="18" x14ac:dyDescent="0.3">
      <c r="A28" s="73"/>
      <c r="B28" s="73"/>
      <c r="D28" s="89"/>
      <c r="E28" s="259"/>
      <c r="F28" s="260" t="s">
        <v>113</v>
      </c>
      <c r="G28" s="261"/>
      <c r="H28" s="262">
        <f ca="1">H21+H15</f>
        <v>36944</v>
      </c>
      <c r="I28" s="1"/>
      <c r="J28" s="104">
        <f ca="1">H30</f>
        <v>36944</v>
      </c>
      <c r="K28" s="60">
        <f ca="1">J28*0.05</f>
        <v>1847.2</v>
      </c>
      <c r="L28" s="60">
        <f ca="1">J28-K28</f>
        <v>35096.800000000003</v>
      </c>
      <c r="M28" s="104">
        <f ca="1">L28-N28</f>
        <v>20473.133333333335</v>
      </c>
      <c r="N28" s="106">
        <f ca="1">L28/2.4</f>
        <v>14623.666666666668</v>
      </c>
    </row>
    <row r="29" spans="1:14" ht="18.75" thickBot="1" x14ac:dyDescent="0.35">
      <c r="A29" s="73"/>
      <c r="B29" s="73"/>
      <c r="C29" s="73"/>
      <c r="F29" s="272" t="s">
        <v>75</v>
      </c>
      <c r="G29" s="271">
        <v>0</v>
      </c>
      <c r="H29" s="244">
        <f ca="1">H28*G29</f>
        <v>0</v>
      </c>
      <c r="I29" s="1"/>
      <c r="M29" s="94"/>
    </row>
    <row r="30" spans="1:14" ht="19.5" thickBot="1" x14ac:dyDescent="0.35">
      <c r="A30" s="1"/>
      <c r="B30" s="1"/>
      <c r="C30" s="1"/>
      <c r="D30" s="1"/>
      <c r="F30" s="132" t="s">
        <v>67</v>
      </c>
      <c r="G30" s="133"/>
      <c r="H30" s="181">
        <f ca="1">(H28-H29)</f>
        <v>36944</v>
      </c>
      <c r="I30" s="1"/>
      <c r="J30" s="97" t="s">
        <v>80</v>
      </c>
      <c r="K30" s="92"/>
      <c r="L30" s="92"/>
      <c r="M30" s="105">
        <f ca="1">M28*0.15</f>
        <v>3070.9700000000003</v>
      </c>
    </row>
    <row r="31" spans="1:14" ht="18" thickBot="1" x14ac:dyDescent="0.35">
      <c r="A31" s="1"/>
      <c r="B31" s="1"/>
      <c r="C31" s="1"/>
      <c r="D31" s="1"/>
      <c r="E31" s="1"/>
      <c r="F31" s="1"/>
      <c r="G31" s="1"/>
      <c r="H31" s="1"/>
      <c r="I31" s="1"/>
    </row>
    <row r="32" spans="1:14" ht="18" thickBot="1" x14ac:dyDescent="0.35">
      <c r="A32" s="76"/>
      <c r="B32" s="76"/>
      <c r="C32" s="76"/>
      <c r="D32" s="76"/>
      <c r="E32" s="76"/>
      <c r="F32" s="76"/>
      <c r="G32" s="76"/>
      <c r="H32" s="76"/>
      <c r="I32" s="1"/>
      <c r="J32" s="96" t="s">
        <v>82</v>
      </c>
      <c r="K32" s="92"/>
      <c r="L32" s="92"/>
      <c r="M32" s="105">
        <f ca="1">M28-M30</f>
        <v>17402.163333333334</v>
      </c>
    </row>
    <row r="33" spans="1:13" ht="18" thickBot="1" x14ac:dyDescent="0.35">
      <c r="H33" s="155"/>
      <c r="I33" s="1"/>
    </row>
    <row r="34" spans="1:13" ht="19.5" thickBot="1" x14ac:dyDescent="0.35">
      <c r="A34" s="189" t="s">
        <v>69</v>
      </c>
      <c r="B34" s="145"/>
      <c r="C34" s="146"/>
      <c r="D34" s="1"/>
      <c r="E34" s="3"/>
      <c r="F34" s="1"/>
      <c r="G34" s="1"/>
      <c r="H34" s="1"/>
      <c r="I34" s="1"/>
      <c r="J34" s="1"/>
      <c r="K34" s="91"/>
      <c r="M34" s="94"/>
    </row>
    <row r="35" spans="1:13" ht="18" thickBot="1" x14ac:dyDescent="0.35">
      <c r="A35" s="128" t="s">
        <v>59</v>
      </c>
      <c r="B35" s="119"/>
      <c r="C35" s="119"/>
      <c r="D35" s="119"/>
      <c r="E35" s="119"/>
      <c r="F35" s="119"/>
      <c r="G35" s="193"/>
      <c r="H35" s="120"/>
    </row>
    <row r="36" spans="1:13" ht="18" thickBot="1" x14ac:dyDescent="0.35">
      <c r="I36" s="1"/>
      <c r="J36" s="157" t="s">
        <v>108</v>
      </c>
      <c r="K36" s="157" t="s">
        <v>109</v>
      </c>
      <c r="L36" s="157" t="s">
        <v>110</v>
      </c>
      <c r="M36" s="60"/>
    </row>
    <row r="37" spans="1:13" ht="17.25" x14ac:dyDescent="0.3">
      <c r="A37" s="336" t="s">
        <v>76</v>
      </c>
      <c r="B37" s="337"/>
      <c r="C37" s="338"/>
      <c r="D37" s="339" t="s">
        <v>61</v>
      </c>
      <c r="E37" s="339" t="s">
        <v>68</v>
      </c>
      <c r="F37" s="339" t="s">
        <v>70</v>
      </c>
      <c r="G37" s="340"/>
      <c r="H37" s="341">
        <f>SUM(H38:H45)</f>
        <v>34400</v>
      </c>
      <c r="I37" s="1"/>
      <c r="J37" s="158" t="s">
        <v>105</v>
      </c>
      <c r="K37" s="159">
        <v>0.6</v>
      </c>
      <c r="L37" s="160">
        <f ca="1">J28*K37</f>
        <v>22166.399999999998</v>
      </c>
    </row>
    <row r="38" spans="1:13" ht="17.25" x14ac:dyDescent="0.3">
      <c r="A38" s="342"/>
      <c r="B38" s="343"/>
      <c r="C38" s="343"/>
      <c r="D38" s="344"/>
      <c r="E38" s="172"/>
      <c r="F38" s="240"/>
      <c r="G38" s="343"/>
      <c r="H38" s="345"/>
      <c r="I38" s="1"/>
      <c r="J38" s="158" t="s">
        <v>106</v>
      </c>
      <c r="K38" s="159">
        <v>0.32</v>
      </c>
      <c r="L38" s="160">
        <f ca="1">J28*K38</f>
        <v>11822.08</v>
      </c>
    </row>
    <row r="39" spans="1:13" ht="18" thickBot="1" x14ac:dyDescent="0.35">
      <c r="A39" s="269" t="s">
        <v>170</v>
      </c>
      <c r="B39" s="346"/>
      <c r="C39" s="347"/>
      <c r="D39" s="348" t="s">
        <v>73</v>
      </c>
      <c r="E39" s="349">
        <v>150</v>
      </c>
      <c r="F39" s="347">
        <v>86</v>
      </c>
      <c r="G39" s="350"/>
      <c r="H39" s="267">
        <f>F39*E39</f>
        <v>12900</v>
      </c>
      <c r="J39" s="161" t="s">
        <v>107</v>
      </c>
      <c r="K39" s="162">
        <v>0.08</v>
      </c>
      <c r="L39" s="163">
        <f ca="1">J28*K39</f>
        <v>2955.52</v>
      </c>
      <c r="M39" s="1"/>
    </row>
    <row r="40" spans="1:13" ht="18" thickBot="1" x14ac:dyDescent="0.35">
      <c r="A40" s="269" t="s">
        <v>167</v>
      </c>
      <c r="B40" s="351"/>
      <c r="C40" s="351"/>
      <c r="D40" s="348"/>
      <c r="E40" s="349">
        <v>250</v>
      </c>
      <c r="F40" s="347">
        <v>86</v>
      </c>
      <c r="G40" s="351"/>
      <c r="H40" s="267">
        <f>F40*E40</f>
        <v>21500</v>
      </c>
      <c r="J40" s="164" t="s">
        <v>3</v>
      </c>
      <c r="K40" s="165">
        <f>SUM(K37:K39)</f>
        <v>0.99999999999999989</v>
      </c>
      <c r="L40" s="156">
        <f ca="1">SUM(L37:L39)</f>
        <v>36943.999999999993</v>
      </c>
      <c r="M40" s="1"/>
    </row>
    <row r="41" spans="1:13" ht="17.25" x14ac:dyDescent="0.3">
      <c r="A41" s="352"/>
      <c r="B41" s="351"/>
      <c r="C41" s="351"/>
      <c r="D41" s="351"/>
      <c r="E41" s="351"/>
      <c r="F41" s="351"/>
      <c r="G41" s="351"/>
      <c r="H41" s="353"/>
      <c r="J41" s="333"/>
      <c r="K41" s="334"/>
      <c r="L41" s="335"/>
      <c r="M41" s="1"/>
    </row>
    <row r="42" spans="1:13" ht="17.25" x14ac:dyDescent="0.3">
      <c r="A42" s="269"/>
      <c r="B42" s="351"/>
      <c r="C42" s="351"/>
      <c r="D42" s="348"/>
      <c r="E42" s="349"/>
      <c r="F42" s="347"/>
      <c r="G42" s="351"/>
      <c r="H42" s="267"/>
      <c r="J42" s="333"/>
      <c r="K42" s="334"/>
      <c r="L42" s="335"/>
      <c r="M42" s="1"/>
    </row>
    <row r="43" spans="1:13" ht="17.25" x14ac:dyDescent="0.3">
      <c r="A43" s="269"/>
      <c r="B43" s="351"/>
      <c r="C43" s="351"/>
      <c r="D43" s="348"/>
      <c r="E43" s="349"/>
      <c r="F43" s="347"/>
      <c r="G43" s="351"/>
      <c r="H43" s="267"/>
      <c r="J43" s="333"/>
      <c r="K43" s="334"/>
      <c r="L43" s="335"/>
      <c r="M43" s="1"/>
    </row>
    <row r="44" spans="1:13" ht="17.25" x14ac:dyDescent="0.3">
      <c r="A44" s="269"/>
      <c r="B44" s="351"/>
      <c r="C44" s="351"/>
      <c r="D44" s="348"/>
      <c r="E44" s="349"/>
      <c r="F44" s="347"/>
      <c r="G44" s="351"/>
      <c r="H44" s="267"/>
      <c r="J44" s="333"/>
      <c r="K44" s="334"/>
      <c r="L44" s="335"/>
      <c r="M44" s="1"/>
    </row>
    <row r="45" spans="1:13" ht="17.25" x14ac:dyDescent="0.3">
      <c r="A45" s="270"/>
      <c r="B45" s="263"/>
      <c r="C45" s="176"/>
      <c r="D45" s="264"/>
      <c r="E45" s="265"/>
      <c r="F45" s="176"/>
      <c r="G45" s="266"/>
      <c r="H45" s="268"/>
      <c r="M45" s="1"/>
    </row>
    <row r="46" spans="1:13" ht="17.25" x14ac:dyDescent="0.3">
      <c r="M46" s="1"/>
    </row>
    <row r="47" spans="1:13" ht="17.25" x14ac:dyDescent="0.3">
      <c r="J47" s="155"/>
      <c r="M47" s="1"/>
    </row>
    <row r="48" spans="1:13" ht="18" x14ac:dyDescent="0.3">
      <c r="A48" s="73"/>
      <c r="C48" s="73"/>
      <c r="D48" s="73"/>
      <c r="E48" s="259"/>
      <c r="F48" s="260" t="s">
        <v>113</v>
      </c>
      <c r="G48" s="261"/>
      <c r="H48" s="273">
        <f>H37</f>
        <v>34400</v>
      </c>
      <c r="J48" s="155"/>
      <c r="M48" s="1"/>
    </row>
    <row r="49" spans="1:13" ht="18.75" thickBot="1" x14ac:dyDescent="0.35">
      <c r="A49" s="73"/>
      <c r="B49" s="73"/>
      <c r="C49" s="73"/>
      <c r="E49" s="131"/>
      <c r="F49" s="272" t="s">
        <v>75</v>
      </c>
      <c r="G49" s="271">
        <v>0</v>
      </c>
      <c r="H49" s="244">
        <f>H48*G49</f>
        <v>0</v>
      </c>
      <c r="L49" s="1"/>
      <c r="M49" s="91"/>
    </row>
    <row r="50" spans="1:13" ht="19.5" thickBot="1" x14ac:dyDescent="0.35">
      <c r="A50" s="1"/>
      <c r="B50" s="1"/>
      <c r="C50" s="1"/>
      <c r="D50" s="1"/>
      <c r="E50" s="1"/>
      <c r="F50" s="132" t="s">
        <v>67</v>
      </c>
      <c r="G50" s="133"/>
      <c r="H50" s="181">
        <f>(H48-H49)</f>
        <v>34400</v>
      </c>
      <c r="L50" s="1"/>
      <c r="M50" s="91"/>
    </row>
    <row r="51" spans="1:13" ht="18.75" x14ac:dyDescent="0.3">
      <c r="A51" s="1"/>
      <c r="B51" s="1"/>
      <c r="C51" s="1"/>
      <c r="D51" s="1"/>
      <c r="E51" s="1"/>
      <c r="F51" s="132"/>
      <c r="G51" s="132"/>
      <c r="J51" s="155"/>
      <c r="L51" s="1"/>
      <c r="M51" s="91"/>
    </row>
    <row r="52" spans="1:13" ht="18.75" x14ac:dyDescent="0.3">
      <c r="A52" s="1"/>
      <c r="B52" s="1"/>
      <c r="C52" s="1"/>
      <c r="D52" s="1"/>
      <c r="E52" s="1"/>
      <c r="F52" s="132"/>
      <c r="G52" s="132"/>
      <c r="L52" s="1"/>
      <c r="M52" s="91"/>
    </row>
    <row r="53" spans="1:13" ht="18.75" x14ac:dyDescent="0.3">
      <c r="A53" s="1"/>
      <c r="B53" s="1"/>
      <c r="C53" s="1"/>
      <c r="D53" s="1"/>
      <c r="E53" s="1"/>
      <c r="F53" s="132"/>
      <c r="G53" s="132"/>
      <c r="L53" s="1"/>
      <c r="M53" s="91"/>
    </row>
    <row r="54" spans="1:13" ht="18.75" x14ac:dyDescent="0.3">
      <c r="A54" s="1"/>
      <c r="B54" s="1"/>
      <c r="C54" s="1"/>
      <c r="D54" s="1"/>
      <c r="E54" s="1"/>
      <c r="F54" s="132"/>
      <c r="G54" s="132"/>
      <c r="L54" s="1"/>
      <c r="M54" s="91"/>
    </row>
    <row r="55" spans="1:13" ht="17.25" x14ac:dyDescent="0.3">
      <c r="A55" s="1"/>
      <c r="B55" s="1"/>
      <c r="C55" s="1"/>
      <c r="D55" s="1"/>
      <c r="E55" s="1"/>
      <c r="F55" s="1"/>
      <c r="G55" s="1"/>
      <c r="H55" s="1"/>
      <c r="L55" s="1"/>
      <c r="M55" s="91"/>
    </row>
    <row r="56" spans="1:13" ht="17.25" x14ac:dyDescent="0.3">
      <c r="A56" s="76"/>
      <c r="B56" s="76"/>
      <c r="C56" s="76"/>
      <c r="D56" s="76"/>
      <c r="E56" s="76"/>
      <c r="F56" s="76"/>
      <c r="G56" s="76"/>
      <c r="H56" s="76"/>
      <c r="L56" s="1"/>
      <c r="M56" s="91"/>
    </row>
    <row r="57" spans="1:13" ht="18" thickBot="1" x14ac:dyDescent="0.35">
      <c r="L57" s="1"/>
      <c r="M57" s="91"/>
    </row>
    <row r="58" spans="1:13" ht="19.5" thickBot="1" x14ac:dyDescent="0.35">
      <c r="A58" s="190" t="s">
        <v>65</v>
      </c>
      <c r="B58" s="191"/>
      <c r="C58" s="192"/>
      <c r="D58" s="1"/>
      <c r="E58" s="1"/>
      <c r="F58" s="1"/>
      <c r="G58" s="1"/>
      <c r="H58" s="1"/>
      <c r="L58" s="1"/>
      <c r="M58" s="91"/>
    </row>
    <row r="59" spans="1:13" ht="18" thickBot="1" x14ac:dyDescent="0.35">
      <c r="A59" s="128" t="s">
        <v>13</v>
      </c>
      <c r="B59" s="119"/>
      <c r="C59" s="119"/>
      <c r="D59" s="186"/>
      <c r="E59" s="187"/>
      <c r="F59" s="119" t="s">
        <v>68</v>
      </c>
      <c r="G59" s="187" t="s">
        <v>14</v>
      </c>
      <c r="H59" s="188" t="s">
        <v>87</v>
      </c>
      <c r="L59" s="1"/>
      <c r="M59" s="91"/>
    </row>
    <row r="60" spans="1:13" ht="17.25" x14ac:dyDescent="0.3">
      <c r="A60" s="14"/>
      <c r="B60" s="14"/>
      <c r="C60" s="14"/>
      <c r="D60" s="14"/>
      <c r="E60" s="147"/>
      <c r="F60" s="147"/>
      <c r="G60" s="122"/>
      <c r="H60" s="147"/>
      <c r="L60" s="1"/>
      <c r="M60" s="91"/>
    </row>
    <row r="61" spans="1:13" ht="17.25" x14ac:dyDescent="0.3">
      <c r="A61" s="1" t="s">
        <v>129</v>
      </c>
      <c r="B61" s="61"/>
      <c r="C61" s="4"/>
      <c r="D61" s="1"/>
      <c r="E61" s="60"/>
      <c r="F61" s="60">
        <v>10000</v>
      </c>
      <c r="G61" s="3">
        <v>86</v>
      </c>
      <c r="H61" s="60">
        <f>G61*F61</f>
        <v>860000</v>
      </c>
      <c r="L61" s="1"/>
      <c r="M61" s="91"/>
    </row>
    <row r="62" spans="1:13" ht="17.25" x14ac:dyDescent="0.3">
      <c r="A62" s="1"/>
      <c r="B62" s="61"/>
      <c r="F62" s="60"/>
      <c r="G62" s="3"/>
      <c r="H62" s="60"/>
      <c r="L62" s="1"/>
      <c r="M62" s="91"/>
    </row>
    <row r="63" spans="1:13" ht="17.25" x14ac:dyDescent="0.3">
      <c r="A63" s="1"/>
      <c r="L63" s="1"/>
      <c r="M63" s="91"/>
    </row>
    <row r="64" spans="1:13" ht="18" thickBot="1" x14ac:dyDescent="0.35">
      <c r="A64" s="1"/>
      <c r="B64" s="1"/>
      <c r="C64" s="1"/>
      <c r="D64" s="1" t="s">
        <v>128</v>
      </c>
      <c r="E64" s="60"/>
      <c r="F64" s="60"/>
      <c r="G64" s="3"/>
      <c r="H64" s="60"/>
      <c r="L64" s="1"/>
      <c r="M64" s="91"/>
    </row>
    <row r="65" spans="1:13" ht="18" thickBot="1" x14ac:dyDescent="0.35">
      <c r="A65" s="1"/>
      <c r="B65" s="1"/>
      <c r="C65" s="1"/>
      <c r="D65" s="1"/>
      <c r="E65" s="118"/>
      <c r="F65" s="62" t="s">
        <v>3</v>
      </c>
      <c r="G65" s="63">
        <f>SUM(G60:G63)</f>
        <v>86</v>
      </c>
      <c r="H65" s="95">
        <f>SUM(H60:H64)</f>
        <v>860000</v>
      </c>
      <c r="L65" s="1"/>
      <c r="M65" s="91"/>
    </row>
    <row r="66" spans="1:13" ht="15.75" thickBot="1" x14ac:dyDescent="0.3"/>
    <row r="67" spans="1:13" ht="19.5" thickBot="1" x14ac:dyDescent="0.35">
      <c r="A67" s="199" t="s">
        <v>35</v>
      </c>
      <c r="B67" s="194"/>
      <c r="C67" s="194"/>
      <c r="D67" s="194"/>
      <c r="E67" s="319">
        <f>H65</f>
        <v>860000</v>
      </c>
      <c r="F67" s="320"/>
      <c r="G67" s="320"/>
      <c r="H67" s="321"/>
      <c r="J67" s="5"/>
      <c r="K67" s="5"/>
      <c r="M67" s="1"/>
    </row>
    <row r="68" spans="1:13" ht="18.75" x14ac:dyDescent="0.3">
      <c r="A68" s="196" t="s">
        <v>84</v>
      </c>
      <c r="B68" s="195"/>
      <c r="C68" s="195"/>
      <c r="D68" s="195"/>
      <c r="E68" s="322" t="s">
        <v>118</v>
      </c>
      <c r="F68" s="322"/>
      <c r="G68" s="322"/>
      <c r="H68" s="322"/>
      <c r="L68" s="1"/>
      <c r="M68" s="1"/>
    </row>
    <row r="69" spans="1:13" ht="15.75" thickBot="1" x14ac:dyDescent="0.3">
      <c r="J69" t="s">
        <v>101</v>
      </c>
      <c r="K69" t="s">
        <v>102</v>
      </c>
      <c r="L69" t="s">
        <v>103</v>
      </c>
      <c r="M69" t="s">
        <v>104</v>
      </c>
    </row>
    <row r="70" spans="1:13" ht="20.25" thickBot="1" x14ac:dyDescent="0.3">
      <c r="A70" s="198" t="s">
        <v>44</v>
      </c>
      <c r="B70" s="59"/>
      <c r="C70" s="59"/>
      <c r="D70" s="59"/>
      <c r="E70" s="59"/>
      <c r="F70" s="59"/>
      <c r="G70" s="59"/>
      <c r="H70" s="127"/>
      <c r="J70" s="149" t="s">
        <v>93</v>
      </c>
      <c r="K70" s="154">
        <v>20000</v>
      </c>
      <c r="L70" s="90">
        <v>1</v>
      </c>
      <c r="M70" s="151">
        <f t="shared" ref="M70:M77" si="1">K70*L70</f>
        <v>20000</v>
      </c>
    </row>
    <row r="71" spans="1:13" x14ac:dyDescent="0.25">
      <c r="J71" s="116" t="s">
        <v>94</v>
      </c>
      <c r="K71" s="155">
        <v>3000</v>
      </c>
      <c r="L71">
        <v>4</v>
      </c>
      <c r="M71" s="152">
        <f t="shared" si="1"/>
        <v>12000</v>
      </c>
    </row>
    <row r="72" spans="1:13" ht="17.25" x14ac:dyDescent="0.25">
      <c r="A72" s="124" t="s">
        <v>21</v>
      </c>
      <c r="B72" s="125"/>
      <c r="C72" s="125"/>
      <c r="D72" s="126"/>
      <c r="E72" s="201">
        <f>IF($E$68="Medium",IF($E$67&gt;Data!D48,IF($E$67&gt;Data!D49,IF($E$67&gt;Data!D50,IF($E$67&gt;Data!D51,IF($E$67&gt;Data!D52,IF($E$67&gt;Data!D53,IF($E$67&gt;Data!D54,IF($E$67&gt;Data!D55,IF($E$67&gt;Data!D56,IF($E$67&gt;Data!D57,IF($E$67&gt;Data!D58,Data!E59,Data!E58),Data!E57),Data!E56),Data!E55),Data!E54),Data!E53),Data!E52),Data!E51),Data!E50),Data!E49),Data!E48),IF($E$68="High",(IF($E$67&gt;Data!D29,IF($E$67&gt;Data!D30,IF($E$67&gt;Data!D31,IF($E$67&gt;Data!D32,IF($E$67&gt;Data!D33,IF($E$67&gt;Data!D34,IF($E$67&gt;Data!D35,IF($E$67&gt;Data!D36,IF($E$67&gt;Data!D37,IF($E$67&gt;Data!D38,IF($E$67&gt;Data!D39,Data!E40,Data!E39),Data!E37),Data!E36),Data!E35),Data!E34),Data!E33),Data!E52),Data!E32),Data!E31),Data!E30),Data!E29)),IF($E$68="Low",(IF($E$67&gt;Data!D67,IF($E$67&gt;Data!D68,IF($E$67&gt;Data!D69,IF($E$67&gt;Data!D70,IF($E$67&gt;Data!D71,IF($E$67&gt;Data!D72,IF($E$67&gt;Data!D73,IF($E$67&gt;Data!D74,IF($E$67&gt;Data!D75,IF($E$67&gt;Data!D76,IF($E$67&gt;Data!D77,Data!E78,Data!E77),Data!E76),Data!E75),Data!E74),Data!E73),Data!E72),Data!E71),Data!E70),Data!E69),Data!E68),Data!E67)))))</f>
        <v>146200.15</v>
      </c>
      <c r="F72" s="129"/>
      <c r="G72" s="129"/>
      <c r="H72" s="130"/>
      <c r="J72" s="116" t="s">
        <v>95</v>
      </c>
      <c r="K72" s="155">
        <v>5000</v>
      </c>
      <c r="L72">
        <v>2</v>
      </c>
      <c r="M72" s="152">
        <f t="shared" si="1"/>
        <v>10000</v>
      </c>
    </row>
    <row r="73" spans="1:13" ht="17.25" x14ac:dyDescent="0.25">
      <c r="A73" s="134" t="s">
        <v>49</v>
      </c>
      <c r="B73" s="61"/>
      <c r="C73" s="61"/>
      <c r="D73" s="135"/>
      <c r="E73" s="202">
        <f>IF($E$68="Medium",($E$67-(VLOOKUP($E$72,Data!E48:G59,3,FALSE)))*(VLOOKUP($E$72,Data!E48:G59,2,FALSE)),IF($E$68="High",($E$67-(VLOOKUP($E$72,Data!E29:G40,3,FALSE)))*(VLOOKUP($E$72,Data!E29:G40,2,FALSE)),IF($E$68="Low",($E$67-(VLOOKUP($E$72,Data!E66:G78,3,FALSE)))*(VLOOKUP($E$72,Data!E66:G78,2,FALSE)))))</f>
        <v>31226.851299999998</v>
      </c>
      <c r="F73" s="77"/>
      <c r="G73" s="77"/>
      <c r="H73" s="139"/>
      <c r="J73" s="116" t="s">
        <v>96</v>
      </c>
      <c r="K73" s="155">
        <v>8000</v>
      </c>
      <c r="L73">
        <v>1</v>
      </c>
      <c r="M73" s="152">
        <f t="shared" si="1"/>
        <v>8000</v>
      </c>
    </row>
    <row r="74" spans="1:13" ht="17.25" x14ac:dyDescent="0.25">
      <c r="A74" s="134"/>
      <c r="B74" s="61"/>
      <c r="C74" s="61"/>
      <c r="D74" s="135"/>
      <c r="E74" s="202">
        <f>E72+E73</f>
        <v>177427.0013</v>
      </c>
      <c r="F74" s="77"/>
      <c r="G74" s="77"/>
      <c r="H74" s="139"/>
      <c r="J74" s="116" t="s">
        <v>100</v>
      </c>
      <c r="K74" s="155">
        <v>5000</v>
      </c>
      <c r="L74">
        <v>1</v>
      </c>
      <c r="M74" s="152">
        <f t="shared" si="1"/>
        <v>5000</v>
      </c>
    </row>
    <row r="75" spans="1:13" ht="17.25" x14ac:dyDescent="0.25">
      <c r="A75" s="134" t="s">
        <v>52</v>
      </c>
      <c r="B75" s="61"/>
      <c r="C75" s="61"/>
      <c r="D75" s="135"/>
      <c r="E75" s="203">
        <v>0</v>
      </c>
      <c r="F75" s="4"/>
      <c r="G75" s="4"/>
      <c r="H75" s="142"/>
      <c r="J75" s="116" t="s">
        <v>97</v>
      </c>
      <c r="K75" s="155">
        <v>2000</v>
      </c>
      <c r="L75">
        <v>1</v>
      </c>
      <c r="M75" s="152">
        <f t="shared" si="1"/>
        <v>2000</v>
      </c>
    </row>
    <row r="76" spans="1:13" ht="18" x14ac:dyDescent="0.25">
      <c r="A76" s="136" t="s">
        <v>54</v>
      </c>
      <c r="B76" s="137"/>
      <c r="C76" s="137"/>
      <c r="D76" s="138"/>
      <c r="E76" s="204">
        <f>E74+E75</f>
        <v>177427.0013</v>
      </c>
      <c r="F76" s="140"/>
      <c r="G76" s="140"/>
      <c r="H76" s="141"/>
      <c r="J76" s="116" t="s">
        <v>98</v>
      </c>
      <c r="K76" s="155">
        <v>7000</v>
      </c>
      <c r="L76">
        <v>1</v>
      </c>
      <c r="M76" s="152">
        <f t="shared" si="1"/>
        <v>7000</v>
      </c>
    </row>
    <row r="77" spans="1:13" ht="15.75" thickBot="1" x14ac:dyDescent="0.3">
      <c r="J77" s="116" t="s">
        <v>99</v>
      </c>
      <c r="K77" s="155">
        <v>15000</v>
      </c>
      <c r="L77">
        <v>1</v>
      </c>
      <c r="M77" s="152">
        <f t="shared" si="1"/>
        <v>15000</v>
      </c>
    </row>
    <row r="78" spans="1:13" ht="19.5" thickBot="1" x14ac:dyDescent="0.35">
      <c r="A78" s="200" t="s">
        <v>36</v>
      </c>
      <c r="B78" s="143"/>
      <c r="C78" s="143"/>
      <c r="D78" s="144"/>
      <c r="E78" s="110" t="s">
        <v>37</v>
      </c>
      <c r="F78" s="110" t="s">
        <v>117</v>
      </c>
      <c r="G78" s="121" t="s">
        <v>66</v>
      </c>
      <c r="H78" s="110" t="s">
        <v>116</v>
      </c>
      <c r="I78" s="1"/>
      <c r="J78" s="150"/>
      <c r="K78" s="117"/>
      <c r="L78" s="117"/>
      <c r="M78" s="153">
        <f>SUM(M70:M77)</f>
        <v>79000</v>
      </c>
    </row>
    <row r="79" spans="1:13" ht="17.25" x14ac:dyDescent="0.3">
      <c r="A79" s="82" t="s">
        <v>123</v>
      </c>
      <c r="B79" s="122" t="s">
        <v>127</v>
      </c>
      <c r="C79" s="122"/>
      <c r="D79" s="122"/>
      <c r="E79" s="107">
        <v>0.02</v>
      </c>
      <c r="F79" s="81">
        <f>$E$76*E79</f>
        <v>3548.5400260000001</v>
      </c>
      <c r="G79" s="107">
        <v>0.3</v>
      </c>
      <c r="H79" s="108">
        <f>IF(G79=0,F79,F79-(F79*G79))</f>
        <v>2483.9780182000004</v>
      </c>
    </row>
    <row r="80" spans="1:13" ht="17.25" x14ac:dyDescent="0.3">
      <c r="A80" s="86" t="s">
        <v>122</v>
      </c>
      <c r="B80" s="3" t="s">
        <v>125</v>
      </c>
      <c r="C80" s="3"/>
      <c r="D80" s="3"/>
      <c r="E80" s="206">
        <v>0.15</v>
      </c>
      <c r="F80" s="5">
        <f t="shared" ref="F80:F85" si="2">$E$76*E80</f>
        <v>26614.050195</v>
      </c>
      <c r="G80" s="206">
        <v>0.3</v>
      </c>
      <c r="H80" s="85">
        <f t="shared" ref="H80:H85" si="3">IF(G80=0,F80,F80-(F80*G80))</f>
        <v>18629.835136499998</v>
      </c>
    </row>
    <row r="81" spans="1:10" ht="17.25" x14ac:dyDescent="0.3">
      <c r="A81" s="86" t="s">
        <v>121</v>
      </c>
      <c r="B81" s="3" t="s">
        <v>124</v>
      </c>
      <c r="C81" s="3"/>
      <c r="D81" s="3"/>
      <c r="E81" s="206">
        <v>0.2</v>
      </c>
      <c r="F81" s="5">
        <f t="shared" si="2"/>
        <v>35485.400260000002</v>
      </c>
      <c r="G81" s="206">
        <v>0.3</v>
      </c>
      <c r="H81" s="85">
        <f t="shared" si="3"/>
        <v>24839.780182000002</v>
      </c>
    </row>
    <row r="82" spans="1:10" ht="17.25" x14ac:dyDescent="0.3">
      <c r="A82" s="86" t="s">
        <v>45</v>
      </c>
      <c r="B82" s="3" t="s">
        <v>46</v>
      </c>
      <c r="C82" s="3"/>
      <c r="D82" s="3"/>
      <c r="E82" s="206">
        <v>0.1</v>
      </c>
      <c r="F82" s="5">
        <f t="shared" si="2"/>
        <v>17742.700130000001</v>
      </c>
      <c r="G82" s="206">
        <v>0</v>
      </c>
      <c r="H82" s="85">
        <f t="shared" si="3"/>
        <v>17742.700130000001</v>
      </c>
    </row>
    <row r="83" spans="1:10" ht="17.25" x14ac:dyDescent="0.3">
      <c r="A83" s="86" t="s">
        <v>57</v>
      </c>
      <c r="B83" s="3" t="s">
        <v>47</v>
      </c>
      <c r="C83" s="3"/>
      <c r="D83" s="3"/>
      <c r="E83" s="206">
        <v>0.2</v>
      </c>
      <c r="F83" s="5">
        <f t="shared" si="2"/>
        <v>35485.400260000002</v>
      </c>
      <c r="G83" s="206">
        <v>0</v>
      </c>
      <c r="H83" s="85">
        <f>IF(G83=0,F83,F83-(F83*G83))</f>
        <v>35485.400260000002</v>
      </c>
    </row>
    <row r="84" spans="1:10" ht="17.25" x14ac:dyDescent="0.3">
      <c r="A84" s="86" t="s">
        <v>50</v>
      </c>
      <c r="B84" s="3" t="s">
        <v>126</v>
      </c>
      <c r="C84" s="3"/>
      <c r="D84" s="3"/>
      <c r="E84" s="206">
        <v>0.3</v>
      </c>
      <c r="F84" s="5">
        <f t="shared" si="2"/>
        <v>53228.10039</v>
      </c>
      <c r="G84" s="206">
        <v>0</v>
      </c>
      <c r="H84" s="85">
        <f>IF(G84=0,F84,F84-(F84*G84))</f>
        <v>53228.10039</v>
      </c>
    </row>
    <row r="85" spans="1:10" ht="18" thickBot="1" x14ac:dyDescent="0.35">
      <c r="A85" s="87" t="s">
        <v>120</v>
      </c>
      <c r="B85" s="123" t="s">
        <v>119</v>
      </c>
      <c r="C85" s="123"/>
      <c r="D85" s="123"/>
      <c r="E85" s="109">
        <v>0.03</v>
      </c>
      <c r="F85" s="83">
        <f t="shared" si="2"/>
        <v>5322.810039</v>
      </c>
      <c r="G85" s="109">
        <v>0</v>
      </c>
      <c r="H85" s="84">
        <f t="shared" si="3"/>
        <v>5322.810039</v>
      </c>
    </row>
    <row r="86" spans="1:10" ht="18" thickBot="1" x14ac:dyDescent="0.35">
      <c r="A86" s="1"/>
      <c r="B86" s="1"/>
      <c r="C86" s="1"/>
      <c r="F86" s="1"/>
      <c r="G86" s="3"/>
      <c r="H86" s="1"/>
    </row>
    <row r="87" spans="1:10" ht="19.5" thickBot="1" x14ac:dyDescent="0.35">
      <c r="A87" s="1"/>
      <c r="B87" s="1"/>
      <c r="C87" s="1"/>
      <c r="E87" s="316" t="s">
        <v>90</v>
      </c>
      <c r="F87" s="317"/>
      <c r="G87" s="318"/>
      <c r="H87" s="115">
        <f>H88*(1-(SUM(H79:H85)/H88))</f>
        <v>19694.397144299997</v>
      </c>
    </row>
    <row r="88" spans="1:10" ht="19.5" thickBot="1" x14ac:dyDescent="0.35">
      <c r="B88" s="111"/>
      <c r="C88" s="111"/>
      <c r="E88" s="316" t="s">
        <v>53</v>
      </c>
      <c r="F88" s="317"/>
      <c r="G88" s="318"/>
      <c r="H88" s="115">
        <f>SUM(F79:F85)</f>
        <v>177427.0013</v>
      </c>
    </row>
    <row r="89" spans="1:10" ht="15.75" thickBot="1" x14ac:dyDescent="0.3"/>
    <row r="90" spans="1:10" ht="18.75" thickBot="1" x14ac:dyDescent="0.3">
      <c r="E90" s="323" t="s">
        <v>114</v>
      </c>
      <c r="F90" s="324"/>
      <c r="G90" s="325"/>
      <c r="H90" s="112">
        <f>H88-H87</f>
        <v>157732.60415570001</v>
      </c>
    </row>
    <row r="91" spans="1:10" ht="17.25" x14ac:dyDescent="0.3">
      <c r="A91" s="1"/>
      <c r="B91" s="205"/>
      <c r="C91" s="183"/>
      <c r="D91" s="183"/>
      <c r="E91" s="60"/>
      <c r="F91" s="166"/>
      <c r="G91" s="4"/>
      <c r="H91" s="77"/>
    </row>
    <row r="92" spans="1:10" x14ac:dyDescent="0.25">
      <c r="J92" s="210"/>
    </row>
    <row r="93" spans="1:10" x14ac:dyDescent="0.25">
      <c r="D93" s="315"/>
      <c r="E93" s="315"/>
      <c r="J93" s="210"/>
    </row>
    <row r="94" spans="1:10" x14ac:dyDescent="0.25">
      <c r="J94" s="210"/>
    </row>
    <row r="95" spans="1:10" x14ac:dyDescent="0.25">
      <c r="D95" s="315"/>
      <c r="E95" s="315"/>
      <c r="J95" s="210"/>
    </row>
    <row r="96" spans="1:10" x14ac:dyDescent="0.25">
      <c r="J96" s="211"/>
    </row>
    <row r="97" spans="4:13" x14ac:dyDescent="0.25">
      <c r="D97" s="315"/>
      <c r="E97" s="315"/>
      <c r="F97" s="315"/>
      <c r="G97" s="315"/>
    </row>
    <row r="98" spans="4:13" x14ac:dyDescent="0.25">
      <c r="D98" s="315"/>
      <c r="E98" s="315"/>
      <c r="F98" s="315"/>
      <c r="G98" s="315"/>
    </row>
    <row r="99" spans="4:13" x14ac:dyDescent="0.25">
      <c r="D99" s="315"/>
      <c r="E99" s="315"/>
      <c r="F99" s="315"/>
      <c r="G99" s="315"/>
    </row>
    <row r="100" spans="4:13" x14ac:dyDescent="0.25">
      <c r="D100" s="315"/>
      <c r="E100" s="315"/>
      <c r="F100" s="315"/>
      <c r="G100" s="315"/>
    </row>
    <row r="101" spans="4:13" x14ac:dyDescent="0.25">
      <c r="D101" s="315"/>
      <c r="E101" s="315"/>
      <c r="F101" s="315"/>
      <c r="G101" s="315"/>
    </row>
    <row r="102" spans="4:13" x14ac:dyDescent="0.25">
      <c r="D102" s="315"/>
      <c r="E102" s="315"/>
      <c r="F102" s="315"/>
      <c r="G102" s="315"/>
    </row>
    <row r="103" spans="4:13" x14ac:dyDescent="0.25">
      <c r="D103" s="315"/>
      <c r="E103" s="315"/>
      <c r="F103" s="315"/>
      <c r="G103" s="315"/>
      <c r="K103" s="91"/>
    </row>
    <row r="104" spans="4:13" x14ac:dyDescent="0.25">
      <c r="D104" s="315"/>
      <c r="E104" s="315"/>
      <c r="F104" s="315"/>
      <c r="G104" s="315"/>
    </row>
    <row r="106" spans="4:13" x14ac:dyDescent="0.25">
      <c r="D106" s="315"/>
      <c r="E106" s="315"/>
      <c r="F106" s="315"/>
      <c r="G106" s="315"/>
      <c r="M106" s="155"/>
    </row>
    <row r="117" spans="4:14" ht="22.5" customHeight="1" x14ac:dyDescent="0.25"/>
    <row r="119" spans="4:14" x14ac:dyDescent="0.25">
      <c r="D119" s="315"/>
      <c r="E119" s="315"/>
      <c r="J119" s="207"/>
      <c r="L119" s="155"/>
    </row>
    <row r="120" spans="4:14" x14ac:dyDescent="0.25">
      <c r="D120" s="315"/>
      <c r="E120" s="315"/>
      <c r="L120" s="207"/>
      <c r="M120" s="155"/>
    </row>
    <row r="121" spans="4:14" x14ac:dyDescent="0.25">
      <c r="D121" s="315"/>
      <c r="E121" s="315"/>
    </row>
    <row r="122" spans="4:14" x14ac:dyDescent="0.25">
      <c r="M122" s="91"/>
    </row>
    <row r="125" spans="4:14" x14ac:dyDescent="0.25">
      <c r="N125" s="155"/>
    </row>
    <row r="128" spans="4:14" x14ac:dyDescent="0.25">
      <c r="K128" s="114"/>
    </row>
    <row r="129" spans="11:11" x14ac:dyDescent="0.25">
      <c r="K129" s="113"/>
    </row>
  </sheetData>
  <mergeCells count="36">
    <mergeCell ref="A21:B21"/>
    <mergeCell ref="E88:G88"/>
    <mergeCell ref="E90:G90"/>
    <mergeCell ref="D120:E120"/>
    <mergeCell ref="D98:E98"/>
    <mergeCell ref="D99:E99"/>
    <mergeCell ref="D100:E100"/>
    <mergeCell ref="D101:E101"/>
    <mergeCell ref="D102:E102"/>
    <mergeCell ref="D103:E103"/>
    <mergeCell ref="F106:G106"/>
    <mergeCell ref="D104:E104"/>
    <mergeCell ref="F104:G104"/>
    <mergeCell ref="D121:E121"/>
    <mergeCell ref="D119:E119"/>
    <mergeCell ref="E87:G87"/>
    <mergeCell ref="E67:H67"/>
    <mergeCell ref="E68:H68"/>
    <mergeCell ref="F97:G97"/>
    <mergeCell ref="F98:G98"/>
    <mergeCell ref="F99:G99"/>
    <mergeCell ref="F100:G100"/>
    <mergeCell ref="F101:G101"/>
    <mergeCell ref="F102:G102"/>
    <mergeCell ref="F103:G103"/>
    <mergeCell ref="D106:E106"/>
    <mergeCell ref="D97:E97"/>
    <mergeCell ref="D95:E95"/>
    <mergeCell ref="D93:E93"/>
    <mergeCell ref="J15:L15"/>
    <mergeCell ref="J19:L19"/>
    <mergeCell ref="B16:C16"/>
    <mergeCell ref="A11:H11"/>
    <mergeCell ref="A13:C13"/>
    <mergeCell ref="A14:C14"/>
    <mergeCell ref="A15:B15"/>
  </mergeCells>
  <phoneticPr fontId="25" type="noConversion"/>
  <dataValidations count="2">
    <dataValidation type="list" allowBlank="1" showInputMessage="1" showErrorMessage="1" sqref="E68" xr:uid="{ECF54CF7-43CA-4261-8A26-6CBCF5480061}">
      <formula1>"Low,Medium,High"</formula1>
    </dataValidation>
    <dataValidation type="list" allowBlank="1" showInputMessage="1" showErrorMessage="1" sqref="D16:D19 D22:D27 D38:D40 D42:D45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771C4-A30E-49FA-944F-338E25199B7C}">
  <dimension ref="B2:W36"/>
  <sheetViews>
    <sheetView showGridLines="0" tabSelected="1" zoomScale="85" zoomScaleNormal="85" workbookViewId="0">
      <selection activeCell="I15" sqref="I15"/>
    </sheetView>
  </sheetViews>
  <sheetFormatPr defaultRowHeight="15" x14ac:dyDescent="0.25"/>
  <cols>
    <col min="1" max="1" width="3.28515625" customWidth="1"/>
    <col min="2" max="2" width="15.42578125" customWidth="1"/>
    <col min="3" max="3" width="13.85546875" customWidth="1"/>
    <col min="4" max="4" width="18.5703125" customWidth="1"/>
    <col min="5" max="5" width="13.7109375" bestFit="1" customWidth="1"/>
    <col min="6" max="6" width="3.5703125" customWidth="1"/>
    <col min="7" max="7" width="11.140625" bestFit="1" customWidth="1"/>
    <col min="8" max="8" width="11.85546875" bestFit="1" customWidth="1"/>
  </cols>
  <sheetData>
    <row r="2" spans="2:20" x14ac:dyDescent="0.25">
      <c r="B2" s="358" t="s">
        <v>179</v>
      </c>
    </row>
    <row r="3" spans="2:20" x14ac:dyDescent="0.25">
      <c r="B3" s="354" t="s">
        <v>181</v>
      </c>
      <c r="C3" s="354"/>
      <c r="D3" s="357">
        <f>65000*0.7</f>
        <v>45500</v>
      </c>
    </row>
    <row r="5" spans="2:20" x14ac:dyDescent="0.25">
      <c r="B5" s="358" t="s">
        <v>195</v>
      </c>
    </row>
    <row r="6" spans="2:20" x14ac:dyDescent="0.25">
      <c r="B6" s="359" t="s">
        <v>180</v>
      </c>
      <c r="C6" s="359" t="s">
        <v>171</v>
      </c>
      <c r="D6" s="359" t="s">
        <v>182</v>
      </c>
    </row>
    <row r="7" spans="2:20" x14ac:dyDescent="0.25">
      <c r="B7" s="357">
        <v>350</v>
      </c>
      <c r="C7" s="356">
        <v>85</v>
      </c>
      <c r="D7" s="357">
        <f>B7*C7</f>
        <v>29750</v>
      </c>
      <c r="E7" s="332"/>
    </row>
    <row r="9" spans="2:20" x14ac:dyDescent="0.25">
      <c r="B9" s="360" t="s">
        <v>192</v>
      </c>
      <c r="C9" s="360"/>
      <c r="D9" s="360"/>
      <c r="E9" s="360"/>
    </row>
    <row r="10" spans="2:20" x14ac:dyDescent="0.25">
      <c r="B10" s="361" t="s">
        <v>174</v>
      </c>
      <c r="C10" s="361" t="s">
        <v>173</v>
      </c>
      <c r="D10" s="361" t="s">
        <v>172</v>
      </c>
      <c r="E10" s="361" t="s">
        <v>175</v>
      </c>
    </row>
    <row r="11" spans="2:20" x14ac:dyDescent="0.25">
      <c r="B11" s="357">
        <f>B7*0.4</f>
        <v>140</v>
      </c>
      <c r="C11" s="357">
        <f>B11*0.95</f>
        <v>133</v>
      </c>
      <c r="D11" s="357">
        <f>C11*0.95</f>
        <v>126.35</v>
      </c>
      <c r="E11" s="357">
        <f>D11*0.95</f>
        <v>120.03249999999998</v>
      </c>
    </row>
    <row r="13" spans="2:20" x14ac:dyDescent="0.25">
      <c r="B13" s="366" t="s">
        <v>191</v>
      </c>
      <c r="C13" s="359"/>
      <c r="D13" s="359"/>
      <c r="E13" s="359"/>
    </row>
    <row r="14" spans="2:20" x14ac:dyDescent="0.25">
      <c r="B14" s="359" t="s">
        <v>185</v>
      </c>
      <c r="C14" s="367" t="s">
        <v>186</v>
      </c>
      <c r="D14" s="359"/>
      <c r="E14" s="359"/>
    </row>
    <row r="15" spans="2:20" x14ac:dyDescent="0.25">
      <c r="B15" s="359" t="s">
        <v>187</v>
      </c>
      <c r="C15" s="368">
        <v>28</v>
      </c>
      <c r="D15" s="359"/>
      <c r="E15" s="359"/>
    </row>
    <row r="16" spans="2:20" x14ac:dyDescent="0.25">
      <c r="B16" s="359" t="s">
        <v>183</v>
      </c>
      <c r="C16" s="369">
        <f>D7</f>
        <v>29750</v>
      </c>
      <c r="D16" s="359"/>
      <c r="E16" s="359"/>
      <c r="Q16" s="354" t="s">
        <v>169</v>
      </c>
      <c r="R16" s="354"/>
      <c r="S16" s="354"/>
      <c r="T16" s="354"/>
    </row>
    <row r="17" spans="2:23" x14ac:dyDescent="0.25">
      <c r="B17" s="359" t="s">
        <v>184</v>
      </c>
      <c r="C17" s="370">
        <f>E11</f>
        <v>120.03249999999998</v>
      </c>
      <c r="D17" s="359" t="s">
        <v>193</v>
      </c>
      <c r="E17" s="359"/>
      <c r="Q17" s="332" t="s">
        <v>174</v>
      </c>
      <c r="R17" s="332" t="s">
        <v>173</v>
      </c>
      <c r="S17" s="332" t="s">
        <v>172</v>
      </c>
      <c r="T17" s="332" t="s">
        <v>175</v>
      </c>
    </row>
    <row r="18" spans="2:23" x14ac:dyDescent="0.25">
      <c r="B18" s="359"/>
      <c r="C18" s="359"/>
      <c r="D18" s="359"/>
      <c r="E18" s="359"/>
      <c r="Q18" s="155">
        <f>B7*0.4</f>
        <v>140</v>
      </c>
      <c r="R18" s="155">
        <f>Q18*0.95</f>
        <v>133</v>
      </c>
      <c r="S18">
        <f>R18*0.95</f>
        <v>126.35</v>
      </c>
      <c r="T18">
        <f>S18*0.95</f>
        <v>120.03249999999998</v>
      </c>
    </row>
    <row r="19" spans="2:23" x14ac:dyDescent="0.25">
      <c r="B19" s="359" t="s">
        <v>190</v>
      </c>
      <c r="C19" s="359"/>
      <c r="D19" s="359"/>
      <c r="E19" s="359"/>
      <c r="Q19">
        <v>85</v>
      </c>
      <c r="R19">
        <v>85</v>
      </c>
      <c r="S19">
        <v>85</v>
      </c>
      <c r="T19">
        <v>85</v>
      </c>
    </row>
    <row r="20" spans="2:23" x14ac:dyDescent="0.25">
      <c r="B20" s="371">
        <v>45500</v>
      </c>
      <c r="C20" s="359" t="s">
        <v>189</v>
      </c>
      <c r="D20" s="359"/>
      <c r="E20" s="359"/>
      <c r="Q20">
        <f>Q18*Q19</f>
        <v>11900</v>
      </c>
      <c r="R20">
        <f t="shared" ref="R20" si="0">R18*R19</f>
        <v>11305</v>
      </c>
      <c r="S20">
        <f t="shared" ref="S20:T20" si="1">S18*S19</f>
        <v>10739.75</v>
      </c>
      <c r="T20">
        <f t="shared" si="1"/>
        <v>10202.762499999999</v>
      </c>
      <c r="W20">
        <f>S20/650</f>
        <v>16.522692307692306</v>
      </c>
    </row>
    <row r="21" spans="2:23" x14ac:dyDescent="0.25">
      <c r="B21" s="372">
        <f>C16</f>
        <v>29750</v>
      </c>
      <c r="C21" s="359" t="s">
        <v>188</v>
      </c>
      <c r="D21" s="359"/>
      <c r="E21" s="359"/>
    </row>
    <row r="22" spans="2:23" ht="17.25" x14ac:dyDescent="0.4">
      <c r="B22" s="373">
        <f>$C$7*$C$17*$C$15</f>
        <v>285677.34999999998</v>
      </c>
      <c r="C22" s="359" t="s">
        <v>194</v>
      </c>
      <c r="D22" s="359"/>
      <c r="E22" s="359"/>
      <c r="O22">
        <v>1</v>
      </c>
      <c r="Q22">
        <v>4</v>
      </c>
      <c r="R22">
        <v>9</v>
      </c>
      <c r="S22">
        <v>14</v>
      </c>
      <c r="T22">
        <v>15</v>
      </c>
    </row>
    <row r="23" spans="2:23" x14ac:dyDescent="0.25">
      <c r="B23" s="371">
        <f>SUM(B20:B22)</f>
        <v>360927.35</v>
      </c>
      <c r="C23" s="359"/>
      <c r="D23" s="359"/>
      <c r="E23" s="359"/>
      <c r="O23" s="91">
        <f>B7*C7*O22</f>
        <v>29750</v>
      </c>
      <c r="Q23" s="91">
        <f>Q18*Q19*Q22</f>
        <v>47600</v>
      </c>
      <c r="R23" s="91">
        <f>R18*R19*R22</f>
        <v>101745</v>
      </c>
      <c r="S23" s="91">
        <f>S18*S19*S22</f>
        <v>150356.5</v>
      </c>
      <c r="T23" s="91">
        <f>T18*T19*T22</f>
        <v>153041.43749999997</v>
      </c>
    </row>
    <row r="25" spans="2:23" x14ac:dyDescent="0.25">
      <c r="B25" s="358"/>
    </row>
    <row r="26" spans="2:23" x14ac:dyDescent="0.25">
      <c r="C26" s="94"/>
      <c r="Q26">
        <f>Q20/650</f>
        <v>18.307692307692307</v>
      </c>
      <c r="R26">
        <f t="shared" ref="R26:S26" si="2">R20/650</f>
        <v>17.392307692307693</v>
      </c>
      <c r="S26">
        <f t="shared" si="2"/>
        <v>16.522692307692306</v>
      </c>
      <c r="T26">
        <f t="shared" ref="T26" si="3">T20/650</f>
        <v>15.696557692307691</v>
      </c>
    </row>
    <row r="27" spans="2:23" x14ac:dyDescent="0.25">
      <c r="C27" s="365"/>
      <c r="Q27">
        <f>Q26/8</f>
        <v>2.2884615384615383</v>
      </c>
      <c r="R27">
        <f t="shared" ref="R27:T27" si="4">R26/8</f>
        <v>2.1740384615384616</v>
      </c>
      <c r="S27">
        <f t="shared" si="4"/>
        <v>2.0653365384615383</v>
      </c>
      <c r="T27">
        <f t="shared" si="4"/>
        <v>1.9620697115384613</v>
      </c>
    </row>
    <row r="28" spans="2:23" x14ac:dyDescent="0.25">
      <c r="C28" s="362"/>
    </row>
    <row r="29" spans="2:23" x14ac:dyDescent="0.25">
      <c r="C29" s="362"/>
    </row>
    <row r="32" spans="2:23" x14ac:dyDescent="0.25">
      <c r="B32" s="155"/>
      <c r="Q32" t="s">
        <v>176</v>
      </c>
      <c r="R32" t="s">
        <v>177</v>
      </c>
      <c r="S32" t="s">
        <v>178</v>
      </c>
    </row>
    <row r="33" spans="2:20" x14ac:dyDescent="0.25">
      <c r="B33" s="363"/>
      <c r="Q33" s="91">
        <f>Q23+O23</f>
        <v>77350</v>
      </c>
      <c r="R33" s="91">
        <f>R23+O23</f>
        <v>131495</v>
      </c>
      <c r="S33" s="91">
        <f>S23+O23</f>
        <v>180106.5</v>
      </c>
      <c r="T33" s="91"/>
    </row>
    <row r="34" spans="2:20" ht="17.25" x14ac:dyDescent="0.4">
      <c r="B34" s="364"/>
    </row>
    <row r="35" spans="2:20" x14ac:dyDescent="0.25">
      <c r="B35" s="155"/>
      <c r="Q35" s="355">
        <f>Q33/650</f>
        <v>119</v>
      </c>
      <c r="R35" s="355">
        <f t="shared" ref="R35:S35" si="5">R33/650</f>
        <v>202.3</v>
      </c>
      <c r="S35" s="355">
        <f t="shared" si="5"/>
        <v>277.08692307692309</v>
      </c>
    </row>
    <row r="36" spans="2:20" x14ac:dyDescent="0.25">
      <c r="B36" s="155"/>
      <c r="Q36">
        <f>Q35/8</f>
        <v>14.875</v>
      </c>
      <c r="R36">
        <f t="shared" ref="R36:S36" si="6">R35/8</f>
        <v>25.287500000000001</v>
      </c>
      <c r="S36">
        <f t="shared" si="6"/>
        <v>34.635865384615386</v>
      </c>
    </row>
  </sheetData>
  <mergeCells count="3">
    <mergeCell ref="Q16:T16"/>
    <mergeCell ref="B9:E9"/>
    <mergeCell ref="B3:C3"/>
  </mergeCells>
  <phoneticPr fontId="2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topLeftCell="A21" zoomScale="85" zoomScaleNormal="85" workbookViewId="0">
      <selection activeCell="L46" sqref="L46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2.140625" style="1" bestFit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32</v>
      </c>
      <c r="C3" s="14"/>
      <c r="D3" s="14"/>
      <c r="E3" s="15"/>
      <c r="G3" s="4">
        <v>9</v>
      </c>
    </row>
    <row r="4" spans="2:23" ht="18" thickBot="1" x14ac:dyDescent="0.35">
      <c r="B4" s="16" t="s">
        <v>33</v>
      </c>
      <c r="C4" s="17" t="s">
        <v>34</v>
      </c>
      <c r="D4" s="22"/>
      <c r="E4" s="8" t="s">
        <v>4</v>
      </c>
      <c r="F4" s="70" t="s">
        <v>62</v>
      </c>
      <c r="G4" s="1" t="s">
        <v>72</v>
      </c>
      <c r="H4" s="79" t="s">
        <v>17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78">
        <f>Employees!G19</f>
        <v>781</v>
      </c>
      <c r="G5" s="5">
        <f>F5*G3</f>
        <v>7029</v>
      </c>
      <c r="H5" s="80">
        <f>G5+E5</f>
        <v>10802</v>
      </c>
    </row>
    <row r="7" spans="2:23" ht="18" thickBot="1" x14ac:dyDescent="0.35">
      <c r="B7" s="1" t="s">
        <v>85</v>
      </c>
    </row>
    <row r="8" spans="2:23" ht="18" thickBot="1" x14ac:dyDescent="0.35">
      <c r="M8"/>
      <c r="N8" s="28" t="s">
        <v>36</v>
      </c>
      <c r="O8" s="28"/>
      <c r="P8" s="29" t="s">
        <v>37</v>
      </c>
      <c r="Q8" s="28" t="s">
        <v>38</v>
      </c>
      <c r="R8" s="28" t="s">
        <v>39</v>
      </c>
      <c r="S8" s="28" t="s">
        <v>40</v>
      </c>
      <c r="U8" s="28" t="s">
        <v>41</v>
      </c>
      <c r="V8"/>
      <c r="W8"/>
    </row>
    <row r="9" spans="2:23" ht="18" thickBot="1" x14ac:dyDescent="0.35">
      <c r="B9" s="26" t="s">
        <v>35</v>
      </c>
      <c r="C9" s="27">
        <v>3600000</v>
      </c>
      <c r="M9"/>
      <c r="N9" s="67" t="s">
        <v>42</v>
      </c>
      <c r="O9" s="9" t="s">
        <v>43</v>
      </c>
      <c r="P9" s="31">
        <v>0.4</v>
      </c>
      <c r="Q9" s="32">
        <f>C18*P9</f>
        <v>221698.68416</v>
      </c>
      <c r="R9" s="33">
        <v>0</v>
      </c>
      <c r="S9" s="34">
        <f>Q9-W9</f>
        <v>221698.68416</v>
      </c>
      <c r="U9" s="35" t="s">
        <v>15</v>
      </c>
      <c r="V9"/>
      <c r="W9" s="36">
        <f>Q9*R9</f>
        <v>0</v>
      </c>
    </row>
    <row r="10" spans="2:23" x14ac:dyDescent="0.3">
      <c r="B10" s="1" t="s">
        <v>84</v>
      </c>
      <c r="C10" s="3" t="s">
        <v>118</v>
      </c>
      <c r="M10"/>
      <c r="N10" s="65" t="s">
        <v>45</v>
      </c>
      <c r="O10" s="38" t="s">
        <v>46</v>
      </c>
      <c r="P10" s="39">
        <v>0.2</v>
      </c>
      <c r="Q10" s="40">
        <f>C18*P10</f>
        <v>110849.34208</v>
      </c>
      <c r="R10" s="41">
        <v>0</v>
      </c>
      <c r="S10" s="42">
        <f>Q10-W10</f>
        <v>110849.34208</v>
      </c>
      <c r="U10" s="43" t="s">
        <v>15</v>
      </c>
      <c r="V10"/>
      <c r="W10" s="44">
        <f>Q10*R10</f>
        <v>0</v>
      </c>
    </row>
    <row r="11" spans="2:23" x14ac:dyDescent="0.3">
      <c r="M11"/>
      <c r="N11" s="65" t="s">
        <v>57</v>
      </c>
      <c r="O11" s="38" t="s">
        <v>47</v>
      </c>
      <c r="P11" s="39">
        <v>0.1</v>
      </c>
      <c r="Q11" s="40">
        <f>C18*P11</f>
        <v>55424.671040000001</v>
      </c>
      <c r="R11" s="41">
        <v>0</v>
      </c>
      <c r="S11" s="42">
        <f>Q11-W11</f>
        <v>55424.671040000001</v>
      </c>
      <c r="U11" s="43" t="s">
        <v>48</v>
      </c>
      <c r="V11"/>
      <c r="W11" s="44">
        <f>Q11*R11</f>
        <v>0</v>
      </c>
    </row>
    <row r="12" spans="2:23" ht="18" thickBot="1" x14ac:dyDescent="0.35">
      <c r="M12"/>
      <c r="N12" s="66" t="s">
        <v>50</v>
      </c>
      <c r="O12" s="20" t="s">
        <v>51</v>
      </c>
      <c r="P12" s="46">
        <v>0.3</v>
      </c>
      <c r="Q12" s="19">
        <f>C18*P12</f>
        <v>166274.01311999999</v>
      </c>
      <c r="R12" s="47">
        <v>0</v>
      </c>
      <c r="S12" s="21">
        <f>Q12-W12</f>
        <v>166274.01311999999</v>
      </c>
      <c r="U12" s="48" t="s">
        <v>48</v>
      </c>
      <c r="V12"/>
      <c r="W12" s="49">
        <f>Q12*R12</f>
        <v>0</v>
      </c>
    </row>
    <row r="13" spans="2:23" ht="18" thickBot="1" x14ac:dyDescent="0.35">
      <c r="B13" s="328" t="s">
        <v>44</v>
      </c>
      <c r="C13" s="329"/>
      <c r="M13"/>
      <c r="V13"/>
      <c r="W13"/>
    </row>
    <row r="14" spans="2:23" ht="18" thickBot="1" x14ac:dyDescent="0.35">
      <c r="B14" s="30" t="s">
        <v>21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346886.84</v>
      </c>
      <c r="M14"/>
      <c r="N14" s="326" t="s">
        <v>53</v>
      </c>
      <c r="O14" s="327"/>
      <c r="P14" s="55"/>
      <c r="Q14" s="51">
        <f>SUM(Q9:Q12)</f>
        <v>554246.71039999998</v>
      </c>
      <c r="R14" s="45"/>
      <c r="S14" s="20"/>
      <c r="V14"/>
      <c r="W14"/>
    </row>
    <row r="15" spans="2:23" ht="18" thickBot="1" x14ac:dyDescent="0.35">
      <c r="B15" s="37" t="s">
        <v>49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207359.87039999999</v>
      </c>
      <c r="E15" s="5"/>
      <c r="M15"/>
      <c r="N15" s="28" t="s">
        <v>55</v>
      </c>
      <c r="O15" s="6"/>
      <c r="P15" s="6"/>
      <c r="Q15" s="6"/>
      <c r="R15" s="7" t="s">
        <v>56</v>
      </c>
      <c r="S15" s="53">
        <f>SUM(S9:S12)</f>
        <v>554246.71039999998</v>
      </c>
      <c r="V15"/>
      <c r="W15"/>
    </row>
    <row r="16" spans="2:23" x14ac:dyDescent="0.3">
      <c r="B16" s="37"/>
      <c r="C16" s="42">
        <f>C14+C15</f>
        <v>554246.71039999998</v>
      </c>
    </row>
    <row r="17" spans="2:12" ht="18" thickBot="1" x14ac:dyDescent="0.35">
      <c r="B17" s="45" t="s">
        <v>52</v>
      </c>
      <c r="C17" s="50">
        <v>0</v>
      </c>
    </row>
    <row r="18" spans="2:12" ht="18" thickBot="1" x14ac:dyDescent="0.35">
      <c r="B18" s="54" t="s">
        <v>54</v>
      </c>
      <c r="C18" s="52">
        <f>C16+C17</f>
        <v>554246.71039999998</v>
      </c>
    </row>
    <row r="24" spans="2:12" x14ac:dyDescent="0.3">
      <c r="B24" s="330" t="s">
        <v>18</v>
      </c>
      <c r="C24" s="330"/>
      <c r="D24" s="330"/>
      <c r="E24" s="330"/>
      <c r="F24" s="330"/>
      <c r="G24" s="330"/>
    </row>
    <row r="25" spans="2:12" x14ac:dyDescent="0.3">
      <c r="B25" s="331" t="s">
        <v>19</v>
      </c>
      <c r="C25" s="331" t="s">
        <v>20</v>
      </c>
      <c r="D25" s="331"/>
      <c r="E25" s="331" t="s">
        <v>21</v>
      </c>
      <c r="F25" s="331" t="s">
        <v>22</v>
      </c>
      <c r="G25" s="331"/>
      <c r="J25" s="171" t="s">
        <v>86</v>
      </c>
      <c r="K25" s="172">
        <f>IF($C$9&gt;D29,IF($C$9&gt;D30,IF($C$9&gt;D31,IF($C$9&gt;D32,IF($C$9&gt;D33,IF($C$9&gt;D34,IF($C$9&gt;D35,IF($C$9&gt;D36,IF($C$9&gt;D37,IF($C$9&gt;D38,IF($C$9&gt;D39,E40,E39),E37),E36),E35),E34),E33),100),E32),E31),E30),E29)</f>
        <v>403845.93</v>
      </c>
      <c r="L25" s="173">
        <f>VLOOKUP(K25,E29:G40,2,FALSE)</f>
        <v>0.15090000000000001</v>
      </c>
    </row>
    <row r="26" spans="2:12" x14ac:dyDescent="0.3">
      <c r="B26" s="331"/>
      <c r="C26" s="10"/>
      <c r="D26" s="10"/>
      <c r="E26" s="331"/>
      <c r="F26" s="10"/>
      <c r="G26" s="10"/>
      <c r="J26" s="75" t="s">
        <v>89</v>
      </c>
      <c r="K26" s="5">
        <f>K25+L27</f>
        <v>645285.77910000004</v>
      </c>
      <c r="L26" s="174">
        <f>VLOOKUP(K25,E29:G40,3,FALSE)</f>
        <v>2000001</v>
      </c>
    </row>
    <row r="27" spans="2:12" x14ac:dyDescent="0.3">
      <c r="B27" s="331"/>
      <c r="C27" s="10" t="s">
        <v>23</v>
      </c>
      <c r="D27" s="10" t="s">
        <v>24</v>
      </c>
      <c r="E27" s="331"/>
      <c r="F27" s="10" t="s">
        <v>25</v>
      </c>
      <c r="G27" s="10" t="s">
        <v>26</v>
      </c>
      <c r="J27" s="175"/>
      <c r="K27" s="176" t="s">
        <v>112</v>
      </c>
      <c r="L27" s="177">
        <f>(C9-L26)*L25</f>
        <v>241439.84910000002</v>
      </c>
    </row>
    <row r="28" spans="2:12" x14ac:dyDescent="0.3">
      <c r="B28" s="331"/>
      <c r="C28" s="10" t="s">
        <v>27</v>
      </c>
      <c r="D28" s="10" t="s">
        <v>28</v>
      </c>
      <c r="E28" s="10" t="s">
        <v>29</v>
      </c>
      <c r="F28" s="10" t="s">
        <v>30</v>
      </c>
      <c r="G28" s="10" t="s">
        <v>31</v>
      </c>
    </row>
    <row r="29" spans="2:12" x14ac:dyDescent="0.3">
      <c r="B29" s="11">
        <v>1</v>
      </c>
      <c r="C29" s="12">
        <v>1</v>
      </c>
      <c r="D29" s="12">
        <v>200000</v>
      </c>
      <c r="E29" s="12">
        <v>15798.28</v>
      </c>
      <c r="F29" s="13">
        <v>0.24410000000000001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12">
        <v>64622.16</v>
      </c>
      <c r="F30" s="13">
        <v>0.23469999999999999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12">
        <v>170206.35</v>
      </c>
      <c r="F31" s="13">
        <v>0.1731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12">
        <v>403845.93</v>
      </c>
      <c r="F32" s="13">
        <v>0.15090000000000001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12">
        <v>705596.92</v>
      </c>
      <c r="F33" s="13">
        <v>0.1469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12">
        <v>1072897.8700000001</v>
      </c>
      <c r="F34" s="13">
        <v>0.12759999999999999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12">
        <v>1901782.84</v>
      </c>
      <c r="F35" s="13">
        <v>0.12330000000000001</v>
      </c>
      <c r="G35" s="12">
        <v>13000001</v>
      </c>
      <c r="K35" s="88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12">
        <v>5230998.63</v>
      </c>
      <c r="F36" s="13">
        <v>0.12330000000000001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12">
        <v>16321445.09</v>
      </c>
      <c r="F37" s="13">
        <v>0.1152</v>
      </c>
      <c r="G37" s="12">
        <v>130000001</v>
      </c>
      <c r="K37" s="88"/>
    </row>
    <row r="38" spans="2:12" x14ac:dyDescent="0.3">
      <c r="B38" s="11">
        <v>10</v>
      </c>
      <c r="C38" s="12">
        <v>260000001</v>
      </c>
      <c r="D38" s="12">
        <v>520000000</v>
      </c>
      <c r="E38" s="12">
        <v>31306890.75</v>
      </c>
      <c r="F38" s="13">
        <v>0.11260000000000001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12">
        <v>60593982.100000001</v>
      </c>
      <c r="F39" s="13">
        <v>0.10979999999999999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67"/>
      <c r="E40" s="12">
        <v>117678990.65000001</v>
      </c>
      <c r="F40" s="13">
        <v>0.1016</v>
      </c>
      <c r="G40" s="12">
        <v>1040000001</v>
      </c>
    </row>
    <row r="43" spans="2:12" x14ac:dyDescent="0.3">
      <c r="B43" s="58" t="s">
        <v>58</v>
      </c>
      <c r="C43" s="58"/>
      <c r="D43" s="58"/>
      <c r="E43" s="58"/>
      <c r="F43" s="58"/>
      <c r="G43" s="58"/>
    </row>
    <row r="44" spans="2:12" x14ac:dyDescent="0.3">
      <c r="B44" s="10" t="s">
        <v>19</v>
      </c>
      <c r="C44" s="10" t="s">
        <v>20</v>
      </c>
      <c r="D44" s="10"/>
      <c r="E44" s="10" t="s">
        <v>21</v>
      </c>
      <c r="F44" s="184" t="s">
        <v>22</v>
      </c>
      <c r="G44" s="185"/>
      <c r="J44" s="171" t="s">
        <v>86</v>
      </c>
      <c r="K44" s="172">
        <f>IF($C$9&gt;D48,IF($C$9&gt;D49,IF($C$9&gt;D50,IF($C$9&gt;D51,IF($C$9&gt;D52,IF($C$9&gt;D53,IF($C$9&gt;D54,IF($C$9&gt;D55,IF($C$9&gt;D56,IF($C$9&gt;D57,IF($C$9&gt;D58,E59,E58),E57),E56),E55),E54),E53),100),E51),E50),E49),E48)</f>
        <v>346886.84</v>
      </c>
      <c r="L44" s="173">
        <f>VLOOKUP(K44,E48:G59,2,FALSE)</f>
        <v>0.12959999999999999</v>
      </c>
    </row>
    <row r="45" spans="2:12" x14ac:dyDescent="0.3">
      <c r="B45" s="10"/>
      <c r="C45" s="10"/>
      <c r="D45" s="10"/>
      <c r="E45" s="10"/>
      <c r="F45" s="10"/>
      <c r="G45" s="10"/>
      <c r="J45" s="75" t="s">
        <v>89</v>
      </c>
      <c r="K45" s="5">
        <f>K44+L46</f>
        <v>554246.71039999998</v>
      </c>
      <c r="L45" s="174">
        <f>VLOOKUP(K44,E48:G59,3,FALSE)</f>
        <v>2000001</v>
      </c>
    </row>
    <row r="46" spans="2:12" x14ac:dyDescent="0.3">
      <c r="B46" s="10"/>
      <c r="C46" s="10" t="s">
        <v>23</v>
      </c>
      <c r="D46" s="10" t="s">
        <v>24</v>
      </c>
      <c r="E46" s="10"/>
      <c r="F46" s="10" t="s">
        <v>25</v>
      </c>
      <c r="G46" s="10" t="s">
        <v>26</v>
      </c>
      <c r="J46" s="175"/>
      <c r="K46" s="176" t="s">
        <v>112</v>
      </c>
      <c r="L46" s="177">
        <f>(C9-L45)*L44</f>
        <v>207359.87039999999</v>
      </c>
    </row>
    <row r="47" spans="2:12" x14ac:dyDescent="0.3">
      <c r="B47" s="10"/>
      <c r="C47" s="10" t="s">
        <v>27</v>
      </c>
      <c r="D47" s="10" t="s">
        <v>28</v>
      </c>
      <c r="E47" s="10" t="s">
        <v>29</v>
      </c>
      <c r="F47" s="10" t="s">
        <v>30</v>
      </c>
      <c r="G47" s="10" t="s">
        <v>31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13570.07</v>
      </c>
      <c r="F48" s="13">
        <v>0.20960000000000001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55507.74</v>
      </c>
      <c r="F49" s="13">
        <v>0.2016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146200.15</v>
      </c>
      <c r="F50" s="13">
        <v>0.1487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346886.84</v>
      </c>
      <c r="F51" s="13">
        <v>0.12959999999999999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606078.35</v>
      </c>
      <c r="F52" s="13">
        <v>0.12620000000000001</v>
      </c>
      <c r="G52" s="12">
        <v>4000001</v>
      </c>
      <c r="K52" s="5"/>
      <c r="L52" s="93"/>
    </row>
    <row r="53" spans="2:12" x14ac:dyDescent="0.3">
      <c r="B53" s="11">
        <v>6</v>
      </c>
      <c r="C53" s="12">
        <v>6500001</v>
      </c>
      <c r="D53" s="12">
        <v>13000000</v>
      </c>
      <c r="E53" s="68">
        <v>921574.57</v>
      </c>
      <c r="F53" s="13">
        <v>0.1095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1633552.23</v>
      </c>
      <c r="F54" s="13">
        <v>0.106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4493209.93</v>
      </c>
      <c r="F55" s="13">
        <v>0.10589999999999999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14019441.470000001</v>
      </c>
      <c r="F56" s="13">
        <v>9.9099999999999994E-2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26891315.09</v>
      </c>
      <c r="F57" s="13">
        <v>9.6799999999999997E-2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12">
        <v>52047706.609999999</v>
      </c>
      <c r="F58" s="13">
        <v>9.4299999999999995E-2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67"/>
      <c r="E59" s="12">
        <v>101081351.13</v>
      </c>
      <c r="F59" s="13">
        <v>8.7099999999999997E-2</v>
      </c>
      <c r="G59" s="12">
        <v>1040000001</v>
      </c>
    </row>
    <row r="60" spans="2:12" x14ac:dyDescent="0.3">
      <c r="B60" s="94"/>
      <c r="C60" s="168"/>
      <c r="D60" s="169"/>
      <c r="E60" s="168"/>
      <c r="F60" s="170"/>
      <c r="G60" s="168"/>
      <c r="L60" s="56"/>
    </row>
    <row r="61" spans="2:12" x14ac:dyDescent="0.3">
      <c r="K61" s="88"/>
      <c r="L61" s="64"/>
    </row>
    <row r="62" spans="2:12" x14ac:dyDescent="0.3">
      <c r="B62" s="58" t="s">
        <v>111</v>
      </c>
      <c r="C62" s="58"/>
      <c r="D62" s="58"/>
      <c r="E62" s="58"/>
      <c r="F62" s="58"/>
      <c r="G62" s="58"/>
    </row>
    <row r="63" spans="2:12" x14ac:dyDescent="0.3">
      <c r="B63" s="10" t="s">
        <v>19</v>
      </c>
      <c r="C63" s="10" t="s">
        <v>20</v>
      </c>
      <c r="D63" s="10"/>
      <c r="E63" s="10" t="s">
        <v>21</v>
      </c>
      <c r="F63" s="184" t="s">
        <v>22</v>
      </c>
      <c r="G63" s="185"/>
      <c r="J63" s="171" t="s">
        <v>86</v>
      </c>
      <c r="K63" s="172">
        <f>IF($C$9&gt;D67,IF($C$9&gt;D68,IF($C$9&gt;D69,IF($C$9&gt;D70,IF($C$9&gt;D71,IF($C$9&gt;D72,IF($C$9&gt;D73,IF($C$9&gt;D74,IF($C$9&gt;D75,IF($C$9&gt;D76,IF($C$9&gt;D77,E78,E77),E76),E75),E74),E73),E72),100),E70),E69),E68),E67)</f>
        <v>289927.74</v>
      </c>
      <c r="L63" s="173">
        <f>VLOOKUP(K63,E67:G78,2,FALSE)</f>
        <v>0.10829999999999999</v>
      </c>
    </row>
    <row r="64" spans="2:12" x14ac:dyDescent="0.3">
      <c r="B64" s="10"/>
      <c r="C64" s="10"/>
      <c r="D64" s="10"/>
      <c r="E64" s="10"/>
      <c r="F64" s="10"/>
      <c r="G64" s="10"/>
      <c r="J64" s="75" t="s">
        <v>89</v>
      </c>
      <c r="K64" s="5">
        <f>K63+L65</f>
        <v>463207.63169999997</v>
      </c>
      <c r="L64" s="174">
        <f>VLOOKUP(K63,E67:G78,3,FALSE)</f>
        <v>2000001</v>
      </c>
    </row>
    <row r="65" spans="2:12" x14ac:dyDescent="0.3">
      <c r="B65" s="10"/>
      <c r="C65" s="10" t="s">
        <v>23</v>
      </c>
      <c r="D65" s="10" t="s">
        <v>24</v>
      </c>
      <c r="E65" s="10"/>
      <c r="F65" s="10" t="s">
        <v>25</v>
      </c>
      <c r="G65" s="10" t="s">
        <v>26</v>
      </c>
      <c r="J65" s="175"/>
      <c r="K65" s="176" t="s">
        <v>112</v>
      </c>
      <c r="L65" s="177">
        <f>(C9-L64)*L63</f>
        <v>173279.89169999998</v>
      </c>
    </row>
    <row r="66" spans="2:12" x14ac:dyDescent="0.3">
      <c r="B66" s="10"/>
      <c r="C66" s="10" t="s">
        <v>27</v>
      </c>
      <c r="D66" s="10" t="s">
        <v>28</v>
      </c>
      <c r="E66" s="10" t="s">
        <v>29</v>
      </c>
      <c r="F66" s="10" t="s">
        <v>30</v>
      </c>
      <c r="G66" s="10" t="s">
        <v>31</v>
      </c>
    </row>
    <row r="67" spans="2:12" x14ac:dyDescent="0.3">
      <c r="B67" s="11">
        <v>1</v>
      </c>
      <c r="C67" s="12">
        <v>1</v>
      </c>
      <c r="D67" s="12">
        <v>200000</v>
      </c>
      <c r="E67" s="68">
        <v>11341.85</v>
      </c>
      <c r="F67" s="13">
        <v>0.17530000000000001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46393.33</v>
      </c>
      <c r="F68" s="13">
        <v>0.16850000000000001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122193.97</v>
      </c>
      <c r="F69" s="13">
        <v>0.12429999999999999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289927.74</v>
      </c>
      <c r="F70" s="13">
        <v>0.10829999999999999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506559.8</v>
      </c>
      <c r="F71" s="13">
        <v>0.1055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770251.28</v>
      </c>
      <c r="F72" s="13">
        <v>9.1600000000000001E-2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1365321.64</v>
      </c>
      <c r="F73" s="13">
        <v>8.8599999999999998E-2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3755421.23</v>
      </c>
      <c r="F74" s="13">
        <v>8.8499999999999995E-2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11717437.859999999</v>
      </c>
      <c r="F75" s="13">
        <v>8.2799999999999999E-2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22475739.420000002</v>
      </c>
      <c r="F76" s="13">
        <v>8.0799999999999997E-2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12">
        <v>43501431.140000001</v>
      </c>
      <c r="F77" s="13">
        <v>7.8799999999999995E-2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67"/>
      <c r="E78" s="12">
        <v>84483711.590000004</v>
      </c>
      <c r="F78" s="13">
        <v>7.2800000000000004E-2</v>
      </c>
      <c r="G78" s="12">
        <v>1040000001</v>
      </c>
    </row>
  </sheetData>
  <mergeCells count="7">
    <mergeCell ref="N14:O14"/>
    <mergeCell ref="B13:C13"/>
    <mergeCell ref="B24:G24"/>
    <mergeCell ref="B25:B28"/>
    <mergeCell ref="C25:D25"/>
    <mergeCell ref="E25:E27"/>
    <mergeCell ref="F25:G25"/>
  </mergeCells>
  <dataValidations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Employees</vt:lpstr>
      <vt:lpstr> Fees (2D-3D)</vt:lpstr>
      <vt:lpstr>Sheet1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Dewald Potgieter</cp:lastModifiedBy>
  <cp:lastPrinted>2022-09-21T07:15:25Z</cp:lastPrinted>
  <dcterms:created xsi:type="dcterms:W3CDTF">2022-07-11T17:42:49Z</dcterms:created>
  <dcterms:modified xsi:type="dcterms:W3CDTF">2026-01-20T15:06:36Z</dcterms:modified>
</cp:coreProperties>
</file>