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05 - Brian Bowyer\"/>
    </mc:Choice>
  </mc:AlternateContent>
  <xr:revisionPtr revIDLastSave="0" documentId="13_ncr:1_{C1A4597E-22B0-42A7-A1E3-45FC07D3F189}" xr6:coauthVersionLast="47" xr6:coauthVersionMax="47" xr10:uidLastSave="{00000000-0000-0000-0000-000000000000}"/>
  <bookViews>
    <workbookView xWindow="22932" yWindow="-192" windowWidth="23256" windowHeight="12456" activeTab="1" xr2:uid="{260A762B-E942-4A40-AAE5-7E980C9B525F}"/>
  </bookViews>
  <sheets>
    <sheet name="Employees" sheetId="1" r:id="rId1"/>
    <sheet name=" Fees (2D-3D)" sheetId="3" r:id="rId2"/>
    <sheet name=" Fees (2D)" sheetId="4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" l="1"/>
  <c r="G17" i="3" s="1"/>
  <c r="F18" i="3"/>
  <c r="M72" i="4"/>
  <c r="M71" i="4"/>
  <c r="G61" i="4"/>
  <c r="M70" i="4"/>
  <c r="M69" i="4"/>
  <c r="M68" i="4"/>
  <c r="M67" i="4"/>
  <c r="H57" i="4"/>
  <c r="H61" i="4" s="1"/>
  <c r="E63" i="4" s="1"/>
  <c r="M66" i="4"/>
  <c r="M65" i="4"/>
  <c r="K40" i="4"/>
  <c r="H40" i="4"/>
  <c r="H39" i="4"/>
  <c r="H38" i="4"/>
  <c r="G27" i="4"/>
  <c r="F24" i="4"/>
  <c r="G24" i="4" s="1"/>
  <c r="F23" i="4"/>
  <c r="G23" i="4" s="1"/>
  <c r="F22" i="4"/>
  <c r="H22" i="4" s="1"/>
  <c r="F19" i="4"/>
  <c r="G19" i="4" s="1"/>
  <c r="F18" i="4"/>
  <c r="G18" i="4" s="1"/>
  <c r="G17" i="4"/>
  <c r="E17" i="4"/>
  <c r="H17" i="4" s="1"/>
  <c r="G16" i="4"/>
  <c r="F22" i="3"/>
  <c r="F23" i="3"/>
  <c r="G23" i="3" s="1"/>
  <c r="F24" i="3"/>
  <c r="G24" i="3" s="1"/>
  <c r="E17" i="3"/>
  <c r="F19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M73" i="4" l="1"/>
  <c r="H37" i="4"/>
  <c r="F21" i="4"/>
  <c r="G15" i="4"/>
  <c r="M15" i="4" s="1"/>
  <c r="E68" i="4"/>
  <c r="G22" i="4"/>
  <c r="G21" i="4" s="1"/>
  <c r="F15" i="4"/>
  <c r="F21" i="3"/>
  <c r="H22" i="3"/>
  <c r="G22" i="3"/>
  <c r="G21" i="3" s="1"/>
  <c r="F15" i="3"/>
  <c r="J25" i="1"/>
  <c r="O37" i="1"/>
  <c r="J24" i="1" s="1"/>
  <c r="H44" i="4" l="1"/>
  <c r="H45" i="4" s="1"/>
  <c r="H46" i="4" s="1"/>
  <c r="E69" i="4"/>
  <c r="E70" i="4" s="1"/>
  <c r="E72" i="4" s="1"/>
  <c r="H57" i="3"/>
  <c r="G18" i="3"/>
  <c r="G19" i="3"/>
  <c r="G27" i="3"/>
  <c r="F77" i="4" l="1"/>
  <c r="H77" i="4" s="1"/>
  <c r="F76" i="4"/>
  <c r="H76" i="4" s="1"/>
  <c r="F81" i="4"/>
  <c r="H81" i="4" s="1"/>
  <c r="F75" i="4"/>
  <c r="F80" i="4"/>
  <c r="H80" i="4" s="1"/>
  <c r="F79" i="4"/>
  <c r="H79" i="4" s="1"/>
  <c r="F78" i="4"/>
  <c r="H78" i="4" s="1"/>
  <c r="G15" i="3"/>
  <c r="G61" i="3"/>
  <c r="H84" i="4" l="1"/>
  <c r="H75" i="4"/>
  <c r="C14" i="2"/>
  <c r="C15" i="2" s="1"/>
  <c r="H37" i="3"/>
  <c r="H44" i="3" s="1"/>
  <c r="K63" i="2"/>
  <c r="K40" i="3"/>
  <c r="M73" i="3"/>
  <c r="M72" i="3"/>
  <c r="M71" i="3"/>
  <c r="M70" i="3"/>
  <c r="M69" i="3"/>
  <c r="M68" i="3"/>
  <c r="M67" i="3"/>
  <c r="M66" i="3"/>
  <c r="H83" i="4" l="1"/>
  <c r="H86" i="4" s="1"/>
  <c r="H45" i="3"/>
  <c r="H46" i="3" s="1"/>
  <c r="L63" i="2"/>
  <c r="L64" i="2"/>
  <c r="H61" i="3"/>
  <c r="M74" i="3"/>
  <c r="L65" i="2" l="1"/>
  <c r="K64" i="2" s="1"/>
  <c r="E63" i="3"/>
  <c r="E68" i="3" s="1"/>
  <c r="E69" i="3" s="1"/>
  <c r="E5" i="2"/>
  <c r="E70" i="3" l="1"/>
  <c r="E72" i="3" s="1"/>
  <c r="K25" i="2"/>
  <c r="K44" i="2"/>
  <c r="F75" i="3" l="1"/>
  <c r="H75" i="3" s="1"/>
  <c r="F78" i="3"/>
  <c r="H78" i="3" s="1"/>
  <c r="F81" i="3"/>
  <c r="F79" i="3"/>
  <c r="F76" i="3"/>
  <c r="H76" i="3" s="1"/>
  <c r="F80" i="3"/>
  <c r="H80" i="3" s="1"/>
  <c r="F77" i="3"/>
  <c r="H77" i="3" s="1"/>
  <c r="L45" i="2"/>
  <c r="L44" i="2"/>
  <c r="L26" i="2"/>
  <c r="L25" i="2"/>
  <c r="C16" i="2"/>
  <c r="C18" i="2" s="1"/>
  <c r="H79" i="3" l="1"/>
  <c r="H84" i="3"/>
  <c r="H81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3" i="3" l="1"/>
  <c r="H86" i="3" s="1"/>
  <c r="Q14" i="2"/>
  <c r="W9" i="2"/>
  <c r="S9" i="2" s="1"/>
  <c r="S15" i="2" s="1"/>
  <c r="M15" i="3" l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24" i="3" l="1"/>
  <c r="H24" i="3" s="1"/>
  <c r="E24" i="4"/>
  <c r="H24" i="4" s="1"/>
  <c r="E16" i="4"/>
  <c r="H16" i="4" s="1"/>
  <c r="E19" i="4"/>
  <c r="H19" i="4" s="1"/>
  <c r="E23" i="4"/>
  <c r="H23" i="4" s="1"/>
  <c r="E18" i="4"/>
  <c r="H18" i="4" s="1"/>
  <c r="H17" i="3"/>
  <c r="E23" i="3"/>
  <c r="H23" i="3" s="1"/>
  <c r="E19" i="3"/>
  <c r="H19" i="3" s="1"/>
  <c r="E18" i="3"/>
  <c r="H18" i="3" s="1"/>
  <c r="F5" i="2"/>
  <c r="G5" i="2" s="1"/>
  <c r="H5" i="2" s="1"/>
  <c r="H21" i="4" l="1"/>
  <c r="H21" i="3"/>
  <c r="H15" i="4"/>
  <c r="H15" i="3"/>
  <c r="H28" i="4" l="1"/>
  <c r="H29" i="4" s="1"/>
  <c r="H30" i="4" s="1"/>
  <c r="H28" i="3"/>
  <c r="H29" i="3" s="1"/>
  <c r="H30" i="3" s="1"/>
  <c r="M19" i="4" l="1"/>
  <c r="J28" i="4"/>
  <c r="J28" i="3"/>
  <c r="L38" i="3" s="1"/>
  <c r="M19" i="3"/>
  <c r="L37" i="4" l="1"/>
  <c r="L39" i="4"/>
  <c r="K28" i="4"/>
  <c r="L28" i="4" s="1"/>
  <c r="L38" i="4"/>
  <c r="K28" i="3"/>
  <c r="L28" i="3" s="1"/>
  <c r="N28" i="3" s="1"/>
  <c r="M28" i="3" s="1"/>
  <c r="M30" i="3" s="1"/>
  <c r="M32" i="3" s="1"/>
  <c r="L39" i="3"/>
  <c r="L37" i="3"/>
  <c r="N28" i="4" l="1"/>
  <c r="M28" i="4" s="1"/>
  <c r="L40" i="4"/>
  <c r="L40" i="3"/>
  <c r="M30" i="4" l="1"/>
  <c r="M32" i="4" s="1"/>
</calcChain>
</file>

<file path=xl/sharedStrings.xml><?xml version="1.0" encoding="utf-8"?>
<sst xmlns="http://schemas.openxmlformats.org/spreadsheetml/2006/main" count="366" uniqueCount="177">
  <si>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</si>
  <si>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</si>
  <si>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</si>
  <si>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</si>
  <si>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</si>
  <si>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</si>
  <si>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</si>
  <si>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</si>
  <si>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</si>
  <si>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</si>
  <si>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</si>
  <si>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</si>
  <si>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</si>
  <si>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</si>
  <si>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</si>
  <si>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</si>
  <si>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</si>
  <si>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</si>
  <si>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</si>
  <si>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</si>
  <si>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</si>
  <si>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</si>
  <si>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</si>
  <si>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</si>
  <si>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</si>
  <si>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</si>
  <si>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</si>
  <si>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</si>
  <si>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</si>
  <si>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</si>
  <si>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</si>
  <si>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</si>
  <si>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</si>
  <si>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</si>
  <si>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</si>
  <si>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</si>
  <si>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</si>
  <si>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</si>
  <si>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</si>
  <si>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</si>
  <si>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</si>
  <si>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</si>
  <si>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</si>
  <si>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</si>
  <si>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</si>
  <si>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</si>
  <si>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</si>
  <si>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</si>
  <si>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</si>
  <si>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</si>
  <si>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</si>
  <si>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</si>
  <si>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</si>
  <si>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</si>
  <si>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</si>
  <si>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</si>
  <si>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</si>
  <si>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</si>
  <si>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</si>
  <si>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</si>
  <si>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</si>
  <si>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</si>
  <si>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</si>
  <si>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</si>
  <si>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</si>
  <si>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</si>
  <si>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</si>
  <si>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</si>
  <si>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</si>
  <si>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</si>
  <si>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</si>
  <si>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</si>
  <si>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</si>
  <si>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</si>
  <si>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</si>
  <si>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</si>
  <si>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</si>
  <si>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</si>
  <si>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</si>
  <si>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</si>
  <si>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</si>
  <si>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</si>
  <si>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</si>
  <si>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</si>
  <si>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</si>
  <si>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</si>
  <si>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</si>
  <si>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</si>
  <si>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</si>
  <si>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</si>
  <si>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</si>
  <si>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</si>
  <si>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</si>
  <si>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</si>
  <si>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</si>
  <si>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</si>
  <si>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</si>
  <si>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</si>
  <si>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</si>
  <si>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</si>
  <si>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</si>
  <si>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</si>
  <si>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</si>
  <si>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</si>
  <si>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</si>
  <si>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</si>
  <si>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</si>
  <si>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</si>
  <si>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</si>
  <si>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</si>
  <si>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</si>
  <si>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</si>
  <si>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</si>
  <si>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</si>
  <si>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</si>
  <si>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</si>
  <si>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</si>
  <si>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</si>
  <si>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</si>
  <si>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</si>
  <si>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</si>
  <si>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</si>
  <si>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</si>
  <si>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</si>
  <si>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</si>
  <si>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</si>
  <si>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</si>
  <si>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</si>
  <si>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</si>
  <si>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</si>
  <si>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</si>
  <si>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</si>
  <si>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</si>
  <si>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</si>
  <si>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</si>
  <si>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</si>
  <si>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</si>
  <si>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</si>
  <si>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</si>
  <si>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</si>
  <si>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</si>
  <si>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</si>
  <si>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</si>
  <si>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</si>
  <si>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</si>
  <si>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</si>
  <si>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</si>
  <si>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</si>
  <si>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</si>
  <si>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</si>
  <si>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</si>
  <si>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</si>
  <si>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</si>
  <si>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</si>
  <si>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</si>
  <si>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</si>
  <si>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</si>
  <si>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</si>
  <si>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</si>
  <si>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</si>
  <si>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</si>
  <si>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</si>
  <si>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</si>
  <si>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</si>
  <si>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</si>
  <si>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</si>
  <si>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</si>
  <si>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</si>
  <si>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Phase 2:</t>
  </si>
  <si>
    <t>Municipal drawings</t>
  </si>
  <si>
    <t>Measure &amp; draw existing</t>
  </si>
  <si>
    <t>Design Layout</t>
  </si>
  <si>
    <t>Municipal drawings for Additional unit</t>
  </si>
  <si>
    <t>Convert drawings to Existing</t>
  </si>
  <si>
    <t>Design Layout (no 3D)</t>
  </si>
  <si>
    <t>Measure &amp; Draw existing (no 3D)</t>
  </si>
  <si>
    <t>Phase 1 (No 3D):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</si>
</sst>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3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3" fillId="0" borderId="0" xfId="0" applyNumberFormat="1" applyFont="1" applyAlignment="1">
      <alignment horizontal="center" vertical="center"/>
    </xf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0" fillId="9" borderId="53" xfId="0" applyFill="1" applyBorder="1"/>
    <xf numFmtId="0" fontId="5" fillId="9" borderId="56" xfId="0" applyFont="1" applyFill="1" applyBorder="1" applyAlignment="1">
      <alignment horizontal="right" vertical="center"/>
    </xf>
    <xf numFmtId="0" fontId="5" fillId="9" borderId="56" xfId="0" applyFont="1" applyFill="1" applyBorder="1" applyAlignment="1">
      <alignment vertical="center"/>
    </xf>
    <xf numFmtId="44" fontId="4" fillId="9" borderId="2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23" xfId="0" applyNumberFormat="1" applyFont="1" applyBorder="1"/>
    <xf numFmtId="0" fontId="16" fillId="0" borderId="23" xfId="0" applyFont="1" applyBorder="1"/>
    <xf numFmtId="44" fontId="4" fillId="0" borderId="59" xfId="0" applyNumberFormat="1" applyFont="1" applyBorder="1" applyAlignment="1">
      <alignment horizontal="center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44" fontId="8" fillId="6" borderId="2" xfId="0" applyNumberFormat="1" applyFont="1" applyFill="1" applyBorder="1" applyAlignment="1">
      <alignment horizontal="center"/>
    </xf>
    <xf numFmtId="44" fontId="4" fillId="9" borderId="1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197FD07-8F31-444C-9A6C-AFB63EBD4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86"/>
      <c r="B1" s="286"/>
      <c r="C1" s="286"/>
      <c r="D1" s="286"/>
      <c r="E1" s="286"/>
      <c r="F1" s="286"/>
      <c r="G1" s="286"/>
      <c r="H1" s="286"/>
      <c r="I1" s="286"/>
      <c r="J1" s="286"/>
    </row>
    <row r="2" spans="1:11" x14ac:dyDescent="0.3">
      <c r="A2" s="286"/>
      <c r="B2" s="286"/>
      <c r="C2" s="286"/>
      <c r="D2" s="286"/>
      <c r="E2" s="286"/>
      <c r="F2" s="286"/>
      <c r="G2" s="286"/>
      <c r="H2" s="286"/>
      <c r="I2" s="286"/>
      <c r="J2" s="286"/>
    </row>
    <row r="3" spans="1:11" x14ac:dyDescent="0.3">
      <c r="A3" s="286"/>
      <c r="B3" s="286"/>
      <c r="C3" s="286"/>
      <c r="D3" s="286"/>
      <c r="E3" s="286"/>
      <c r="F3" s="286"/>
      <c r="G3" s="286"/>
      <c r="H3" s="286"/>
      <c r="I3" s="286"/>
      <c r="J3" s="286"/>
    </row>
    <row r="4" spans="1:11" x14ac:dyDescent="0.3">
      <c r="A4" s="286"/>
      <c r="B4" s="286"/>
      <c r="C4" s="286"/>
      <c r="D4" s="286"/>
      <c r="E4" s="286"/>
      <c r="F4" s="286"/>
      <c r="G4" s="286"/>
      <c r="H4" s="286"/>
      <c r="I4" s="286"/>
      <c r="J4" s="286"/>
    </row>
    <row r="5" spans="1:11" x14ac:dyDescent="0.3">
      <c r="A5" s="286"/>
      <c r="B5" s="286"/>
      <c r="C5" s="286"/>
      <c r="D5" s="286"/>
      <c r="E5" s="286"/>
      <c r="F5" s="286"/>
      <c r="G5" s="286"/>
      <c r="H5" s="286"/>
      <c r="I5" s="286"/>
      <c r="J5" s="286"/>
    </row>
    <row r="6" spans="1:11" x14ac:dyDescent="0.3">
      <c r="A6" s="286"/>
      <c r="B6" s="286"/>
      <c r="C6" s="286"/>
      <c r="D6" s="286"/>
      <c r="E6" s="286"/>
      <c r="F6" s="286"/>
      <c r="G6" s="286"/>
      <c r="H6" s="286"/>
      <c r="I6" s="286"/>
      <c r="J6" s="286"/>
    </row>
    <row r="7" spans="1:11" x14ac:dyDescent="0.3">
      <c r="A7" s="286"/>
      <c r="B7" s="286"/>
      <c r="C7" s="286"/>
      <c r="D7" s="286"/>
      <c r="E7" s="286"/>
      <c r="F7" s="286"/>
      <c r="G7" s="286"/>
      <c r="H7" s="286"/>
      <c r="I7" s="286"/>
      <c r="J7" s="286"/>
    </row>
    <row r="8" spans="1:11" x14ac:dyDescent="0.3">
      <c r="A8" s="286"/>
      <c r="B8" s="286"/>
      <c r="C8" s="286"/>
      <c r="D8" s="286"/>
      <c r="E8" s="286"/>
      <c r="F8" s="286"/>
      <c r="G8" s="286"/>
      <c r="H8" s="286"/>
      <c r="I8" s="286"/>
      <c r="J8" s="286"/>
    </row>
    <row r="9" spans="1:11" x14ac:dyDescent="0.3">
      <c r="A9" s="286"/>
      <c r="B9" s="286"/>
      <c r="C9" s="286"/>
      <c r="D9" s="286"/>
      <c r="E9" s="286"/>
      <c r="F9" s="286"/>
      <c r="G9" s="286"/>
      <c r="H9" s="286"/>
      <c r="I9" s="286"/>
      <c r="J9" s="286"/>
    </row>
    <row r="10" spans="1:11" x14ac:dyDescent="0.3">
      <c r="A10" s="286"/>
      <c r="B10" s="286"/>
      <c r="C10" s="286"/>
      <c r="D10" s="286"/>
      <c r="E10" s="286"/>
      <c r="F10" s="286"/>
      <c r="G10" s="286"/>
      <c r="H10" s="286"/>
      <c r="I10" s="286"/>
      <c r="J10" s="286"/>
    </row>
    <row r="11" spans="1:11" ht="21" thickBot="1" x14ac:dyDescent="0.35">
      <c r="A11" s="284" t="s">
        <v>5</v>
      </c>
      <c r="B11" s="285"/>
      <c r="C11" s="285"/>
      <c r="D11" s="285"/>
      <c r="E11" s="285"/>
      <c r="F11" s="285"/>
      <c r="G11" s="285"/>
      <c r="H11" s="285"/>
      <c r="I11" s="285"/>
      <c r="J11" s="285"/>
    </row>
    <row r="12" spans="1:11" ht="18.75" customHeight="1" thickBot="1" x14ac:dyDescent="0.35">
      <c r="A12" s="223" t="s">
        <v>88</v>
      </c>
      <c r="B12" s="224" t="s">
        <v>1</v>
      </c>
      <c r="C12" s="222" t="s">
        <v>0</v>
      </c>
      <c r="D12" s="226" t="s">
        <v>115</v>
      </c>
      <c r="E12" s="289" t="s">
        <v>9</v>
      </c>
      <c r="F12" s="293"/>
      <c r="G12" s="290"/>
      <c r="H12" s="289" t="s">
        <v>4</v>
      </c>
      <c r="I12" s="290"/>
      <c r="J12" s="222" t="s">
        <v>131</v>
      </c>
    </row>
    <row r="13" spans="1:11" x14ac:dyDescent="0.3">
      <c r="A13" s="218">
        <v>1</v>
      </c>
      <c r="B13" s="228" t="s">
        <v>132</v>
      </c>
      <c r="C13" s="111" t="s">
        <v>2</v>
      </c>
      <c r="D13" s="220">
        <v>40000</v>
      </c>
      <c r="E13" s="291">
        <v>0.1</v>
      </c>
      <c r="F13" s="291"/>
      <c r="G13" s="220">
        <f>D13*E13</f>
        <v>4000</v>
      </c>
      <c r="H13" s="288">
        <f>D13+G13</f>
        <v>44000</v>
      </c>
      <c r="I13" s="288"/>
      <c r="J13" s="111">
        <v>2</v>
      </c>
    </row>
    <row r="14" spans="1:11" x14ac:dyDescent="0.3">
      <c r="A14" s="218">
        <v>2</v>
      </c>
      <c r="B14" s="111" t="s">
        <v>92</v>
      </c>
      <c r="C14" s="111" t="s">
        <v>91</v>
      </c>
      <c r="D14" s="219">
        <v>24000</v>
      </c>
      <c r="E14" s="292">
        <v>0.1</v>
      </c>
      <c r="F14" s="292"/>
      <c r="G14" s="220">
        <f>D14*E14</f>
        <v>2400</v>
      </c>
      <c r="H14" s="287">
        <f>D14+G14</f>
        <v>26400</v>
      </c>
      <c r="I14" s="287"/>
      <c r="J14" s="111">
        <v>1</v>
      </c>
    </row>
    <row r="15" spans="1:11" x14ac:dyDescent="0.3">
      <c r="A15" s="218"/>
      <c r="B15" s="111"/>
      <c r="C15" s="111"/>
      <c r="D15" s="219"/>
      <c r="E15" s="280"/>
      <c r="F15" s="280"/>
      <c r="G15" s="220"/>
      <c r="H15" s="287"/>
      <c r="I15" s="287"/>
      <c r="J15" s="111"/>
    </row>
    <row r="16" spans="1:11" x14ac:dyDescent="0.3">
      <c r="A16" s="4"/>
      <c r="E16" s="281"/>
      <c r="F16" s="281"/>
      <c r="H16" s="281"/>
      <c r="I16" s="281"/>
      <c r="K16"/>
    </row>
    <row r="17" spans="1:15" ht="21" thickBot="1" x14ac:dyDescent="0.35">
      <c r="A17" s="294" t="s">
        <v>6</v>
      </c>
      <c r="B17" s="294"/>
      <c r="C17" s="294"/>
      <c r="D17" s="294"/>
      <c r="E17" s="294"/>
      <c r="F17" s="294"/>
      <c r="G17" s="294"/>
      <c r="H17" s="294"/>
      <c r="I17" s="294"/>
      <c r="J17" s="294"/>
      <c r="K17"/>
    </row>
    <row r="18" spans="1:15" ht="18" thickBot="1" x14ac:dyDescent="0.35">
      <c r="A18" s="221" t="s">
        <v>88</v>
      </c>
      <c r="B18" s="225" t="s">
        <v>7</v>
      </c>
      <c r="C18" s="295" t="s">
        <v>10</v>
      </c>
      <c r="D18" s="296"/>
      <c r="E18" s="282" t="s">
        <v>8</v>
      </c>
      <c r="F18" s="283"/>
      <c r="G18" s="298" t="s">
        <v>11</v>
      </c>
      <c r="H18" s="299"/>
      <c r="I18" s="299"/>
      <c r="J18" s="299"/>
      <c r="K18"/>
    </row>
    <row r="19" spans="1:15" x14ac:dyDescent="0.3">
      <c r="A19" s="218">
        <v>1</v>
      </c>
      <c r="B19" s="227">
        <v>21</v>
      </c>
      <c r="C19" s="297">
        <f>D45</f>
        <v>6240.323166666667</v>
      </c>
      <c r="D19" s="297"/>
      <c r="E19" s="302">
        <v>8</v>
      </c>
      <c r="F19" s="302"/>
      <c r="G19" s="300">
        <f>ROUNDUP(C19/E19,-0.1)</f>
        <v>781</v>
      </c>
      <c r="H19" s="300"/>
      <c r="I19" s="300"/>
      <c r="J19" s="300"/>
      <c r="K19" s="111"/>
    </row>
    <row r="20" spans="1:15" x14ac:dyDescent="0.3">
      <c r="A20" s="218">
        <v>2</v>
      </c>
      <c r="B20" s="227">
        <v>21</v>
      </c>
      <c r="C20" s="280">
        <f ca="1">J45</f>
        <v>5167.8</v>
      </c>
      <c r="D20" s="280"/>
      <c r="E20" s="303">
        <v>8</v>
      </c>
      <c r="F20" s="303"/>
      <c r="G20" s="301">
        <f ca="1">ROUNDUP(C20/E20,-1)</f>
        <v>650</v>
      </c>
      <c r="H20" s="301"/>
      <c r="I20" s="301"/>
      <c r="J20" s="301"/>
      <c r="K20" s="111"/>
    </row>
    <row r="21" spans="1:15" x14ac:dyDescent="0.3">
      <c r="A21" s="4"/>
      <c r="E21" s="281"/>
      <c r="F21" s="281"/>
      <c r="K21"/>
    </row>
    <row r="22" spans="1:15" ht="21" thickBot="1" x14ac:dyDescent="0.35">
      <c r="A22" s="284" t="s">
        <v>133</v>
      </c>
      <c r="B22" s="285"/>
      <c r="C22" s="285"/>
      <c r="D22" s="285"/>
      <c r="E22" s="285"/>
      <c r="F22" s="285"/>
      <c r="G22" s="285"/>
      <c r="H22" s="285"/>
      <c r="I22" s="285"/>
      <c r="J22" s="285"/>
      <c r="K22"/>
    </row>
    <row r="23" spans="1:15" ht="18" thickBot="1" x14ac:dyDescent="0.35">
      <c r="A23" s="221"/>
      <c r="B23" s="240" t="s">
        <v>134</v>
      </c>
      <c r="C23" s="240"/>
      <c r="D23" s="240" t="s">
        <v>3</v>
      </c>
      <c r="E23" s="240"/>
      <c r="F23" s="6"/>
      <c r="G23" s="6"/>
      <c r="H23" s="6"/>
      <c r="I23" s="6"/>
      <c r="J23" s="234"/>
    </row>
    <row r="24" spans="1:15" x14ac:dyDescent="0.3">
      <c r="A24" s="242">
        <v>1</v>
      </c>
      <c r="B24" s="14" t="s">
        <v>135</v>
      </c>
      <c r="C24" s="14"/>
      <c r="D24" s="248">
        <v>9510</v>
      </c>
      <c r="E24" s="249"/>
      <c r="F24" s="241">
        <v>1</v>
      </c>
      <c r="G24" s="1" t="s">
        <v>163</v>
      </c>
      <c r="I24" s="258">
        <v>1</v>
      </c>
      <c r="J24" s="250">
        <f ca="1">SUMIF($L$33:$O$42,G24,$O$33:$O$42)*$I$24</f>
        <v>750</v>
      </c>
      <c r="L24" s="1" t="s">
        <v>152</v>
      </c>
    </row>
    <row r="25" spans="1:15" x14ac:dyDescent="0.3">
      <c r="A25" s="4">
        <v>2</v>
      </c>
      <c r="B25" s="1" t="s">
        <v>136</v>
      </c>
      <c r="D25" s="212">
        <v>1000</v>
      </c>
      <c r="E25" s="250"/>
      <c r="F25" s="241">
        <v>2</v>
      </c>
      <c r="G25" s="1" t="s">
        <v>164</v>
      </c>
      <c r="I25" s="258">
        <v>1</v>
      </c>
      <c r="J25" s="250">
        <f ca="1">SUMIF($L$33:$O$43,G25,$O$33:$O$43)*$I$25</f>
        <v>350</v>
      </c>
      <c r="L25" s="230" t="s">
        <v>153</v>
      </c>
      <c r="M25" s="245" t="s">
        <v>154</v>
      </c>
      <c r="N25" s="231" t="s">
        <v>4</v>
      </c>
      <c r="O25" s="246" t="s">
        <v>155</v>
      </c>
    </row>
    <row r="26" spans="1:15" x14ac:dyDescent="0.3">
      <c r="A26" s="4">
        <v>3</v>
      </c>
      <c r="B26" s="1" t="s">
        <v>138</v>
      </c>
      <c r="D26" s="212">
        <v>3830</v>
      </c>
      <c r="E26" s="250"/>
      <c r="F26" s="241">
        <v>3</v>
      </c>
      <c r="G26" s="1" t="s">
        <v>135</v>
      </c>
      <c r="I26" s="258">
        <v>0.3</v>
      </c>
      <c r="J26" s="250">
        <f ca="1">SUMIF($B$24:$D$36,G26,$D$24:$D$36)*I26</f>
        <v>2853</v>
      </c>
      <c r="L26" s="173" t="s">
        <v>160</v>
      </c>
      <c r="M26" s="243">
        <v>12</v>
      </c>
      <c r="N26" s="257">
        <f>9000*C41</f>
        <v>18000</v>
      </c>
      <c r="O26" s="216">
        <f>N26/M26</f>
        <v>1500</v>
      </c>
    </row>
    <row r="27" spans="1:15" x14ac:dyDescent="0.3">
      <c r="A27" s="4">
        <v>4</v>
      </c>
      <c r="B27" s="1" t="s">
        <v>139</v>
      </c>
      <c r="D27" s="212">
        <v>600</v>
      </c>
      <c r="E27" s="250"/>
      <c r="F27" s="241">
        <v>4</v>
      </c>
      <c r="G27" s="1" t="s">
        <v>136</v>
      </c>
      <c r="I27" s="258">
        <v>0.3</v>
      </c>
      <c r="J27" s="250">
        <f ca="1">SUMIF($B$24:$D$36,G27,$D$24:$D$36)*I27</f>
        <v>300</v>
      </c>
      <c r="L27" s="75" t="s">
        <v>156</v>
      </c>
      <c r="M27" s="1">
        <v>12</v>
      </c>
      <c r="N27" s="212">
        <v>13200</v>
      </c>
      <c r="O27" s="250">
        <f>N27/M27</f>
        <v>1100</v>
      </c>
    </row>
    <row r="28" spans="1:15" x14ac:dyDescent="0.3">
      <c r="A28" s="4">
        <v>5</v>
      </c>
      <c r="B28" s="1" t="s">
        <v>140</v>
      </c>
      <c r="D28" s="212">
        <v>770</v>
      </c>
      <c r="E28" s="250"/>
      <c r="F28" s="241">
        <v>5</v>
      </c>
      <c r="G28" s="1" t="s">
        <v>139</v>
      </c>
      <c r="I28" s="258">
        <v>0.3</v>
      </c>
      <c r="J28" s="250">
        <f ca="1">SUMIF($B$24:$D$36,G28,$D$24:$D$36)*I28</f>
        <v>180</v>
      </c>
      <c r="L28" s="75" t="s">
        <v>157</v>
      </c>
      <c r="M28" s="1">
        <v>12</v>
      </c>
      <c r="N28" s="212">
        <v>1600</v>
      </c>
      <c r="O28" s="250">
        <f>N28/M28</f>
        <v>133.33333333333334</v>
      </c>
    </row>
    <row r="29" spans="1:15" x14ac:dyDescent="0.3">
      <c r="A29" s="4">
        <v>6</v>
      </c>
      <c r="B29" s="1" t="s">
        <v>141</v>
      </c>
      <c r="D29" s="212">
        <f>700*4*2</f>
        <v>5600</v>
      </c>
      <c r="E29" s="250"/>
      <c r="F29" s="241">
        <v>6</v>
      </c>
      <c r="G29" s="1" t="s">
        <v>140</v>
      </c>
      <c r="I29" s="258">
        <v>0.3</v>
      </c>
      <c r="J29" s="250">
        <f ca="1">SUMIF($B$24:$D$36,G29,$D$24:$D$36)*I29</f>
        <v>231</v>
      </c>
      <c r="L29" s="177" t="s">
        <v>158</v>
      </c>
      <c r="M29" s="178">
        <v>12</v>
      </c>
      <c r="N29" s="178"/>
      <c r="O29" s="244"/>
    </row>
    <row r="30" spans="1:15" x14ac:dyDescent="0.3">
      <c r="A30" s="4">
        <v>7</v>
      </c>
      <c r="B30" s="1" t="s">
        <v>142</v>
      </c>
      <c r="D30" s="212">
        <v>4000</v>
      </c>
      <c r="E30" s="250"/>
      <c r="J30" s="176"/>
      <c r="L30" s="230"/>
      <c r="M30" s="229"/>
      <c r="N30" s="229" t="s">
        <v>3</v>
      </c>
      <c r="O30" s="211">
        <f>SUM(O26:O29)</f>
        <v>2733.3333333333335</v>
      </c>
    </row>
    <row r="31" spans="1:15" x14ac:dyDescent="0.3">
      <c r="A31" s="4">
        <v>8</v>
      </c>
      <c r="B31" s="1" t="s">
        <v>143</v>
      </c>
      <c r="D31" s="212">
        <v>200</v>
      </c>
      <c r="E31" s="250"/>
      <c r="F31" s="75"/>
      <c r="J31" s="176"/>
    </row>
    <row r="32" spans="1:15" x14ac:dyDescent="0.3">
      <c r="A32" s="4">
        <v>9</v>
      </c>
      <c r="B32" s="1" t="s">
        <v>144</v>
      </c>
      <c r="D32" s="212">
        <f>O43*2</f>
        <v>700</v>
      </c>
      <c r="E32" s="250"/>
      <c r="J32" s="176"/>
      <c r="L32" s="1" t="s">
        <v>159</v>
      </c>
    </row>
    <row r="33" spans="1:15" x14ac:dyDescent="0.3">
      <c r="A33" s="4">
        <v>10</v>
      </c>
      <c r="B33" s="1" t="s">
        <v>145</v>
      </c>
      <c r="D33" s="212">
        <f>10000/12</f>
        <v>833.33333333333337</v>
      </c>
      <c r="E33" s="250"/>
      <c r="J33" s="176"/>
      <c r="L33" s="173" t="s">
        <v>160</v>
      </c>
      <c r="M33" s="243">
        <v>12</v>
      </c>
      <c r="N33" s="257">
        <f>9000</f>
        <v>9000</v>
      </c>
      <c r="O33" s="216">
        <f>N33/M33</f>
        <v>750</v>
      </c>
    </row>
    <row r="34" spans="1:15" x14ac:dyDescent="0.3">
      <c r="A34" s="3">
        <v>11</v>
      </c>
      <c r="B34" s="1" t="s">
        <v>146</v>
      </c>
      <c r="D34" s="212">
        <f>4200/12</f>
        <v>350</v>
      </c>
      <c r="E34" s="250"/>
      <c r="F34" s="75"/>
      <c r="J34" s="176"/>
      <c r="L34" s="75"/>
      <c r="M34" s="1">
        <v>12</v>
      </c>
      <c r="N34" s="212"/>
      <c r="O34" s="250">
        <f>N34/M34</f>
        <v>0</v>
      </c>
    </row>
    <row r="35" spans="1:15" x14ac:dyDescent="0.3">
      <c r="A35" s="3">
        <v>12</v>
      </c>
      <c r="B35" s="1" t="s">
        <v>147</v>
      </c>
      <c r="D35" s="212">
        <f>5200/12/2</f>
        <v>216.66666666666666</v>
      </c>
      <c r="E35" s="250"/>
      <c r="F35" s="75"/>
      <c r="G35" s="212"/>
      <c r="H35" s="212"/>
      <c r="I35" s="212"/>
      <c r="J35" s="176"/>
      <c r="L35" s="75"/>
      <c r="M35" s="1">
        <v>12</v>
      </c>
      <c r="N35" s="212"/>
      <c r="O35" s="250">
        <f>N35/M35</f>
        <v>0</v>
      </c>
    </row>
    <row r="36" spans="1:15" x14ac:dyDescent="0.3">
      <c r="A36" s="235">
        <v>13</v>
      </c>
      <c r="B36" s="178" t="s">
        <v>137</v>
      </c>
      <c r="C36" s="178"/>
      <c r="D36" s="251">
        <f>O30</f>
        <v>2733.3333333333335</v>
      </c>
      <c r="E36" s="217"/>
      <c r="F36" s="177"/>
      <c r="G36" s="251"/>
      <c r="H36" s="251"/>
      <c r="I36" s="251"/>
      <c r="J36" s="217"/>
      <c r="L36" s="75"/>
      <c r="M36" s="1">
        <v>12</v>
      </c>
      <c r="N36" s="212"/>
      <c r="O36" s="250">
        <f>N36/M36</f>
        <v>0</v>
      </c>
    </row>
    <row r="37" spans="1:15" x14ac:dyDescent="0.3">
      <c r="A37" s="3"/>
      <c r="D37" s="212"/>
      <c r="E37" s="212"/>
      <c r="G37" s="212"/>
      <c r="H37" s="212"/>
      <c r="I37" s="212"/>
      <c r="J37" s="212"/>
      <c r="L37" s="230" t="s">
        <v>163</v>
      </c>
      <c r="M37" s="229"/>
      <c r="N37" s="229"/>
      <c r="O37" s="211">
        <f>SUM(O33:O36)</f>
        <v>750</v>
      </c>
    </row>
    <row r="38" spans="1:15" x14ac:dyDescent="0.3">
      <c r="A38" s="3"/>
      <c r="B38" s="69" t="s">
        <v>165</v>
      </c>
      <c r="D38" s="212">
        <f>SUM(D24:D36)</f>
        <v>30343.333333333332</v>
      </c>
      <c r="E38" s="212"/>
      <c r="G38" s="69" t="s">
        <v>165</v>
      </c>
      <c r="H38" s="212"/>
      <c r="I38" s="212"/>
      <c r="J38" s="212">
        <f ca="1">SUM(J24:J36)</f>
        <v>4664</v>
      </c>
    </row>
    <row r="39" spans="1:15" ht="18" thickBot="1" x14ac:dyDescent="0.35">
      <c r="A39" s="236"/>
      <c r="B39" s="237" t="s">
        <v>148</v>
      </c>
      <c r="C39" s="239">
        <v>0.21299999999999999</v>
      </c>
      <c r="D39" s="252">
        <f>SUM(D38)*(1+C39)</f>
        <v>36806.463333333333</v>
      </c>
      <c r="E39" s="212"/>
      <c r="F39" s="261"/>
      <c r="G39" s="237" t="s">
        <v>148</v>
      </c>
      <c r="H39" s="237"/>
      <c r="I39" s="259">
        <v>15.5</v>
      </c>
      <c r="J39" s="260">
        <f ca="1">SUM(J38)*(1+I39)</f>
        <v>76956</v>
      </c>
      <c r="L39" s="1" t="s">
        <v>162</v>
      </c>
    </row>
    <row r="40" spans="1:15" ht="18" thickTop="1" x14ac:dyDescent="0.3">
      <c r="A40" s="4"/>
      <c r="C40" s="212"/>
      <c r="D40" s="212"/>
      <c r="E40" s="212"/>
      <c r="H40" s="212"/>
      <c r="I40" s="212"/>
      <c r="L40" s="173" t="s">
        <v>144</v>
      </c>
      <c r="M40" s="243">
        <v>12</v>
      </c>
      <c r="N40" s="257">
        <v>4200</v>
      </c>
      <c r="O40" s="216">
        <f>N40/M40</f>
        <v>350</v>
      </c>
    </row>
    <row r="41" spans="1:15" x14ac:dyDescent="0.3">
      <c r="A41" s="4">
        <v>1</v>
      </c>
      <c r="B41" s="1" t="s">
        <v>149</v>
      </c>
      <c r="C41" s="1">
        <f>J13</f>
        <v>2</v>
      </c>
      <c r="D41" s="212">
        <f>H13*J13</f>
        <v>88000</v>
      </c>
      <c r="E41" s="212"/>
      <c r="F41" s="3">
        <v>1</v>
      </c>
      <c r="G41" s="1" t="s">
        <v>161</v>
      </c>
      <c r="J41" s="212">
        <f>H14</f>
        <v>26400</v>
      </c>
      <c r="L41" s="75"/>
      <c r="O41" s="176"/>
    </row>
    <row r="42" spans="1:15" ht="18" thickBot="1" x14ac:dyDescent="0.35">
      <c r="A42" s="4"/>
      <c r="C42" s="212"/>
      <c r="D42" s="212"/>
      <c r="E42" s="212"/>
      <c r="L42" s="177"/>
      <c r="M42" s="178"/>
      <c r="N42" s="178"/>
      <c r="O42" s="244"/>
    </row>
    <row r="43" spans="1:15" ht="18" thickBot="1" x14ac:dyDescent="0.35">
      <c r="A43" s="4"/>
      <c r="B43" s="232" t="s">
        <v>166</v>
      </c>
      <c r="C43" s="6"/>
      <c r="D43" s="253">
        <f>D39+D41</f>
        <v>124806.46333333333</v>
      </c>
      <c r="E43" s="254"/>
      <c r="F43" s="212"/>
      <c r="G43" s="232" t="s">
        <v>166</v>
      </c>
      <c r="H43" s="6"/>
      <c r="I43" s="6"/>
      <c r="J43" s="253">
        <f ca="1">J39+J41</f>
        <v>103356</v>
      </c>
      <c r="L43" s="230" t="s">
        <v>164</v>
      </c>
      <c r="M43" s="229"/>
      <c r="N43" s="229"/>
      <c r="O43" s="211">
        <f>SUM(O40:O42)</f>
        <v>350</v>
      </c>
    </row>
    <row r="44" spans="1:15" ht="18" thickBot="1" x14ac:dyDescent="0.35">
      <c r="A44" s="4"/>
      <c r="B44" s="69"/>
      <c r="D44" s="254"/>
      <c r="E44" s="254"/>
    </row>
    <row r="45" spans="1:15" ht="18" thickBot="1" x14ac:dyDescent="0.35">
      <c r="A45" s="4"/>
      <c r="B45" s="233" t="s">
        <v>150</v>
      </c>
      <c r="C45" s="6"/>
      <c r="D45" s="255">
        <f>D43/4/5</f>
        <v>6240.323166666667</v>
      </c>
      <c r="E45" s="212"/>
      <c r="F45" s="93"/>
      <c r="G45" s="233" t="s">
        <v>150</v>
      </c>
      <c r="H45" s="6"/>
      <c r="I45" s="6"/>
      <c r="J45" s="255">
        <f ca="1">J43/4/5</f>
        <v>5167.8</v>
      </c>
    </row>
    <row r="46" spans="1:15" ht="18" thickBot="1" x14ac:dyDescent="0.35">
      <c r="A46" s="4"/>
      <c r="B46" s="87" t="s">
        <v>151</v>
      </c>
      <c r="C46" s="238"/>
      <c r="D46" s="256">
        <f>D45/8</f>
        <v>780.04039583333338</v>
      </c>
      <c r="E46" s="212"/>
      <c r="G46" s="87" t="s">
        <v>151</v>
      </c>
      <c r="H46" s="6"/>
      <c r="I46" s="6"/>
      <c r="J46" s="255">
        <f ca="1">J45/8</f>
        <v>645.97500000000002</v>
      </c>
    </row>
  </sheetData>
  <mergeCells count="24"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25"/>
  <sheetViews>
    <sheetView tabSelected="1" topLeftCell="A11" zoomScaleNormal="100" workbookViewId="0">
      <selection activeCell="J8" sqref="J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324" t="s">
        <v>12</v>
      </c>
      <c r="B11" s="325"/>
      <c r="C11" s="325"/>
      <c r="D11" s="325"/>
      <c r="E11" s="325"/>
      <c r="F11" s="325"/>
      <c r="G11" s="325"/>
      <c r="H11" s="326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27" t="s">
        <v>63</v>
      </c>
      <c r="B13" s="328"/>
      <c r="C13" s="329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30" t="s">
        <v>59</v>
      </c>
      <c r="B14" s="331"/>
      <c r="C14" s="331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4" t="s">
        <v>76</v>
      </c>
      <c r="B15" s="305"/>
      <c r="C15" s="71"/>
      <c r="D15" s="71"/>
      <c r="E15" s="71"/>
      <c r="F15" s="74">
        <f>SUM(F16:F19)</f>
        <v>68</v>
      </c>
      <c r="G15" s="215">
        <f>SUM(G16:G19)</f>
        <v>8.5</v>
      </c>
      <c r="H15" s="184">
        <f ca="1">SUM(H16:H19)</f>
        <v>47344</v>
      </c>
      <c r="I15" s="1"/>
      <c r="J15" s="317" t="s">
        <v>71</v>
      </c>
      <c r="K15" s="318"/>
      <c r="L15" s="319"/>
      <c r="M15" s="150">
        <f>G15</f>
        <v>8.5</v>
      </c>
    </row>
    <row r="16" spans="1:13" ht="17.25" x14ac:dyDescent="0.3">
      <c r="A16" s="180"/>
      <c r="B16" s="323"/>
      <c r="C16" s="323"/>
      <c r="D16" s="60"/>
      <c r="E16" s="60"/>
      <c r="F16" s="3"/>
      <c r="G16" s="181"/>
      <c r="H16" s="182"/>
      <c r="I16" s="1"/>
      <c r="M16" s="3"/>
    </row>
    <row r="17" spans="1:14" ht="17.25" x14ac:dyDescent="0.3">
      <c r="A17" s="274" t="s">
        <v>171</v>
      </c>
      <c r="B17" s="1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f>8*3</f>
        <v>24</v>
      </c>
      <c r="G17" s="181">
        <f>IF(F17="","",F17/8)</f>
        <v>3</v>
      </c>
      <c r="H17" s="182">
        <f>IF(E17="","",F17*E17)</f>
        <v>18744</v>
      </c>
      <c r="I17" s="1"/>
      <c r="M17" s="3"/>
    </row>
    <row r="18" spans="1:14" ht="18" thickBot="1" x14ac:dyDescent="0.35">
      <c r="A18" s="274" t="s">
        <v>169</v>
      </c>
      <c r="B18" s="1"/>
      <c r="C18" s="1"/>
      <c r="D18" s="60" t="s">
        <v>167</v>
      </c>
      <c r="E18" s="60">
        <f ca="1">IF(D18="Dewald", Employees!$G$19,IF(D18="Hannes",Employees!$G$19,IF(D18="Johan",Employees!$G$20,"")))</f>
        <v>650</v>
      </c>
      <c r="F18" s="3">
        <f>8*5</f>
        <v>40</v>
      </c>
      <c r="G18" s="181">
        <f>IF(F18="","",F18/8)</f>
        <v>5</v>
      </c>
      <c r="H18" s="182">
        <f ca="1">IF(E18="","",F18*E18)</f>
        <v>26000</v>
      </c>
      <c r="I18" s="1"/>
      <c r="M18" s="3"/>
    </row>
    <row r="19" spans="1:14" ht="18" thickBot="1" x14ac:dyDescent="0.35">
      <c r="A19" s="180" t="s">
        <v>77</v>
      </c>
      <c r="D19" s="60" t="s">
        <v>167</v>
      </c>
      <c r="E19" s="60">
        <f ca="1">IF(D19="Dewald", Employees!$G$19,IF(D19="Hannes",Employees!$G$19,IF(D19="Johan",Employees!$G$20,"")))</f>
        <v>650</v>
      </c>
      <c r="F19" s="3">
        <f>4</f>
        <v>4</v>
      </c>
      <c r="G19" s="181">
        <f>IF(F19="","",F19/8)</f>
        <v>0.5</v>
      </c>
      <c r="H19" s="182">
        <f ca="1">IF(E19="","",F19*E19)</f>
        <v>2600</v>
      </c>
      <c r="I19" s="1"/>
      <c r="J19" s="320" t="s">
        <v>74</v>
      </c>
      <c r="K19" s="321"/>
      <c r="L19" s="322"/>
      <c r="M19" s="103">
        <f ca="1">H30/M15</f>
        <v>6334.588235294118</v>
      </c>
    </row>
    <row r="20" spans="1:14" ht="18" thickBot="1" x14ac:dyDescent="0.35">
      <c r="I20" s="1"/>
      <c r="M20" s="94"/>
    </row>
    <row r="21" spans="1:14" ht="18" thickBot="1" x14ac:dyDescent="0.35">
      <c r="A21" s="304" t="s">
        <v>168</v>
      </c>
      <c r="B21" s="305"/>
      <c r="C21" s="71"/>
      <c r="D21" s="71"/>
      <c r="E21" s="71"/>
      <c r="F21" s="74">
        <f>SUM(F22:F25)</f>
        <v>10</v>
      </c>
      <c r="G21" s="215">
        <f>SUM(G22:G25)</f>
        <v>1.25</v>
      </c>
      <c r="H21" s="184">
        <f ca="1">SUM(H22:H25)</f>
        <v>6500</v>
      </c>
      <c r="I21" s="1"/>
      <c r="M21" s="94"/>
    </row>
    <row r="22" spans="1:14" ht="17.25" x14ac:dyDescent="0.3">
      <c r="A22" s="274" t="s">
        <v>173</v>
      </c>
      <c r="B22" s="1"/>
      <c r="C22" s="1"/>
      <c r="D22" s="60" t="s">
        <v>73</v>
      </c>
      <c r="E22" s="60">
        <v>650</v>
      </c>
      <c r="F22" s="3">
        <f>1*4</f>
        <v>4</v>
      </c>
      <c r="G22" s="181">
        <f>IF(F22="","",F22/8)</f>
        <v>0.5</v>
      </c>
      <c r="H22" s="182">
        <f>IF(E22="","",F22*E22)</f>
        <v>2600</v>
      </c>
      <c r="I22" s="1"/>
      <c r="M22" s="94"/>
    </row>
    <row r="23" spans="1:14" ht="17.25" x14ac:dyDescent="0.3">
      <c r="A23" s="274" t="s">
        <v>172</v>
      </c>
      <c r="B23" s="1"/>
      <c r="C23" s="1"/>
      <c r="D23" s="60" t="s">
        <v>167</v>
      </c>
      <c r="E23" s="60">
        <f ca="1">IF(D23="Dewald", Employees!$G$19,IF(D23="Hannes",Employees!$G$19,IF(D23="Johan",Employees!$G$20,"")))</f>
        <v>650</v>
      </c>
      <c r="F23" s="3">
        <f>1*2</f>
        <v>2</v>
      </c>
      <c r="G23" s="181">
        <f>IF(F23="","",F23/8)</f>
        <v>0.25</v>
      </c>
      <c r="H23" s="182">
        <f ca="1">IF(E23="","",F23*E23)</f>
        <v>1300</v>
      </c>
      <c r="I23" s="1"/>
      <c r="M23" s="94"/>
    </row>
    <row r="24" spans="1:14" ht="17.25" x14ac:dyDescent="0.3">
      <c r="A24" s="180" t="s">
        <v>77</v>
      </c>
      <c r="D24" s="60" t="s">
        <v>167</v>
      </c>
      <c r="E24" s="60">
        <f ca="1">IF(D24="Dewald", Employees!$G$19,IF(D24="Hannes",Employees!$G$19,IF(D24="Johan",Employees!$G$20,"")))</f>
        <v>650</v>
      </c>
      <c r="F24" s="3">
        <f>4</f>
        <v>4</v>
      </c>
      <c r="G24" s="181">
        <f>IF(F24="","",F24/8)</f>
        <v>0.5</v>
      </c>
      <c r="H24" s="182">
        <f ca="1">IF(E24="","",F24*E24)</f>
        <v>2600</v>
      </c>
      <c r="I24" s="1"/>
      <c r="M24" s="94"/>
    </row>
    <row r="25" spans="1:14" ht="17.25" x14ac:dyDescent="0.3">
      <c r="I25" s="1"/>
      <c r="M25" s="94"/>
    </row>
    <row r="26" spans="1:14" ht="18" thickBot="1" x14ac:dyDescent="0.35">
      <c r="I26" s="1"/>
    </row>
    <row r="27" spans="1:14" ht="18" thickBot="1" x14ac:dyDescent="0.35">
      <c r="G27" s="181" t="str">
        <f t="shared" ref="G27" si="0">IF(F27="","",F27/8)</f>
        <v/>
      </c>
      <c r="H27" s="157"/>
      <c r="I27" s="1"/>
      <c r="J27" s="98" t="s">
        <v>89</v>
      </c>
      <c r="K27" s="100" t="s">
        <v>83</v>
      </c>
      <c r="L27" s="101" t="s">
        <v>78</v>
      </c>
      <c r="M27" s="102" t="s">
        <v>81</v>
      </c>
      <c r="N27" s="99" t="s">
        <v>79</v>
      </c>
    </row>
    <row r="28" spans="1:14" ht="18" x14ac:dyDescent="0.3">
      <c r="A28" s="73"/>
      <c r="B28" s="73"/>
      <c r="D28" s="89"/>
      <c r="E28" s="262"/>
      <c r="F28" s="263" t="s">
        <v>113</v>
      </c>
      <c r="G28" s="264"/>
      <c r="H28" s="265">
        <f ca="1">H21+H15</f>
        <v>53844</v>
      </c>
      <c r="I28" s="1"/>
      <c r="J28" s="104">
        <f ca="1">H30</f>
        <v>53844</v>
      </c>
      <c r="K28" s="60">
        <f ca="1">J28*0.05</f>
        <v>2692.2000000000003</v>
      </c>
      <c r="L28" s="60">
        <f ca="1">J28-K28</f>
        <v>51151.8</v>
      </c>
      <c r="M28" s="104">
        <f ca="1">L28-N28</f>
        <v>29838.55</v>
      </c>
      <c r="N28" s="106">
        <f ca="1">L28/2.4</f>
        <v>21313.250000000004</v>
      </c>
    </row>
    <row r="29" spans="1:14" ht="18.75" thickBot="1" x14ac:dyDescent="0.35">
      <c r="A29" s="73"/>
      <c r="B29" s="73"/>
      <c r="C29" s="73"/>
      <c r="F29" s="277" t="s">
        <v>75</v>
      </c>
      <c r="G29" s="276">
        <v>0</v>
      </c>
      <c r="H29" s="247">
        <f ca="1">H28*G29</f>
        <v>0</v>
      </c>
      <c r="I29" s="1"/>
      <c r="M29" s="94"/>
    </row>
    <row r="30" spans="1:14" ht="19.5" thickBot="1" x14ac:dyDescent="0.35">
      <c r="A30" s="1"/>
      <c r="B30" s="1"/>
      <c r="C30" s="1"/>
      <c r="D30" s="1"/>
      <c r="F30" s="132" t="s">
        <v>67</v>
      </c>
      <c r="G30" s="133"/>
      <c r="H30" s="183">
        <f ca="1">(H28-H29)</f>
        <v>53844</v>
      </c>
      <c r="I30" s="1"/>
      <c r="J30" s="97" t="s">
        <v>80</v>
      </c>
      <c r="K30" s="92"/>
      <c r="L30" s="92"/>
      <c r="M30" s="105">
        <f ca="1">M28*0.15</f>
        <v>4475.7824999999993</v>
      </c>
    </row>
    <row r="31" spans="1:14" ht="18" thickBot="1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14" ht="18" thickBot="1" x14ac:dyDescent="0.35">
      <c r="A32" s="76"/>
      <c r="B32" s="76"/>
      <c r="C32" s="76"/>
      <c r="D32" s="76"/>
      <c r="E32" s="76"/>
      <c r="F32" s="76"/>
      <c r="G32" s="76"/>
      <c r="H32" s="76"/>
      <c r="I32" s="1"/>
      <c r="J32" s="96" t="s">
        <v>82</v>
      </c>
      <c r="K32" s="92"/>
      <c r="L32" s="92"/>
      <c r="M32" s="105">
        <f ca="1">M28-M30</f>
        <v>25362.767500000002</v>
      </c>
    </row>
    <row r="33" spans="1:13" ht="18" thickBot="1" x14ac:dyDescent="0.35">
      <c r="H33" s="157"/>
      <c r="I33" s="1"/>
    </row>
    <row r="34" spans="1:13" ht="19.5" thickBot="1" x14ac:dyDescent="0.35">
      <c r="A34" s="191" t="s">
        <v>69</v>
      </c>
      <c r="B34" s="145"/>
      <c r="C34" s="146"/>
      <c r="D34" s="1"/>
      <c r="E34" s="3"/>
      <c r="F34" s="1"/>
      <c r="G34" s="1"/>
      <c r="H34" s="1"/>
      <c r="I34" s="1"/>
      <c r="J34" s="1"/>
      <c r="K34" s="91"/>
      <c r="M34" s="94"/>
    </row>
    <row r="35" spans="1:13" ht="18" thickBot="1" x14ac:dyDescent="0.35">
      <c r="A35" s="128" t="s">
        <v>59</v>
      </c>
      <c r="B35" s="119"/>
      <c r="C35" s="119"/>
      <c r="D35" s="119"/>
      <c r="E35" s="119"/>
      <c r="F35" s="119"/>
      <c r="G35" s="196"/>
      <c r="H35" s="120"/>
    </row>
    <row r="36" spans="1:13" ht="18" thickBot="1" x14ac:dyDescent="0.35">
      <c r="I36" s="1"/>
      <c r="J36" s="159" t="s">
        <v>108</v>
      </c>
      <c r="K36" s="159" t="s">
        <v>109</v>
      </c>
      <c r="L36" s="159" t="s">
        <v>110</v>
      </c>
      <c r="M36" s="60"/>
    </row>
    <row r="37" spans="1:13" ht="18" thickBot="1" x14ac:dyDescent="0.35">
      <c r="A37" s="147" t="s">
        <v>76</v>
      </c>
      <c r="B37" s="148"/>
      <c r="C37" s="71"/>
      <c r="D37" s="119" t="s">
        <v>61</v>
      </c>
      <c r="E37" s="119" t="s">
        <v>68</v>
      </c>
      <c r="F37" s="119" t="s">
        <v>70</v>
      </c>
      <c r="G37" s="195"/>
      <c r="H37" s="278">
        <f>SUM(H38:H41)</f>
        <v>0</v>
      </c>
      <c r="I37" s="1"/>
      <c r="J37" s="160" t="s">
        <v>105</v>
      </c>
      <c r="K37" s="161">
        <v>0.6</v>
      </c>
      <c r="L37" s="162">
        <f ca="1">J28*K37</f>
        <v>32306.399999999998</v>
      </c>
    </row>
    <row r="38" spans="1:13" ht="17.25" x14ac:dyDescent="0.3">
      <c r="A38" s="273"/>
      <c r="D38" s="60"/>
      <c r="E38" s="5"/>
      <c r="F38" s="1"/>
      <c r="H38" s="270"/>
      <c r="I38" s="1"/>
      <c r="J38" s="160" t="s">
        <v>106</v>
      </c>
      <c r="K38" s="161">
        <v>0.32</v>
      </c>
      <c r="L38" s="162">
        <f ca="1">J28*K38</f>
        <v>17230.080000000002</v>
      </c>
    </row>
    <row r="39" spans="1:13" ht="18" thickBot="1" x14ac:dyDescent="0.35">
      <c r="A39" s="274"/>
      <c r="B39" s="180"/>
      <c r="C39" s="1"/>
      <c r="D39" s="60"/>
      <c r="E39" s="5"/>
      <c r="F39" s="1"/>
      <c r="G39" s="70"/>
      <c r="H39" s="271"/>
      <c r="J39" s="163" t="s">
        <v>107</v>
      </c>
      <c r="K39" s="164">
        <v>0.08</v>
      </c>
      <c r="L39" s="165">
        <f ca="1">J28*K39</f>
        <v>4307.5200000000004</v>
      </c>
      <c r="M39" s="1"/>
    </row>
    <row r="40" spans="1:13" ht="18" thickBot="1" x14ac:dyDescent="0.35">
      <c r="A40" s="274"/>
      <c r="D40" s="60"/>
      <c r="E40" s="5"/>
      <c r="F40" s="1"/>
      <c r="H40" s="271"/>
      <c r="J40" s="166" t="s">
        <v>3</v>
      </c>
      <c r="K40" s="167">
        <f>SUM(K37:K39)</f>
        <v>0.99999999999999989</v>
      </c>
      <c r="L40" s="158">
        <f ca="1">SUM(L37:L39)</f>
        <v>53844</v>
      </c>
      <c r="M40" s="1"/>
    </row>
    <row r="41" spans="1:13" ht="17.25" x14ac:dyDescent="0.3">
      <c r="A41" s="275"/>
      <c r="B41" s="266"/>
      <c r="C41" s="178"/>
      <c r="D41" s="267"/>
      <c r="E41" s="268"/>
      <c r="F41" s="178"/>
      <c r="G41" s="269"/>
      <c r="H41" s="272"/>
      <c r="M41" s="1"/>
    </row>
    <row r="42" spans="1:13" ht="17.25" x14ac:dyDescent="0.3">
      <c r="M42" s="1"/>
    </row>
    <row r="43" spans="1:13" ht="17.25" x14ac:dyDescent="0.3">
      <c r="J43" s="157"/>
      <c r="M43" s="1"/>
    </row>
    <row r="44" spans="1:13" ht="18" x14ac:dyDescent="0.3">
      <c r="A44" s="73"/>
      <c r="C44" s="73"/>
      <c r="D44" s="73"/>
      <c r="E44" s="262"/>
      <c r="F44" s="263" t="s">
        <v>113</v>
      </c>
      <c r="G44" s="264"/>
      <c r="H44" s="279">
        <f>H37</f>
        <v>0</v>
      </c>
      <c r="J44" s="157"/>
      <c r="M44" s="1"/>
    </row>
    <row r="45" spans="1:13" ht="18.75" thickBot="1" x14ac:dyDescent="0.35">
      <c r="A45" s="73"/>
      <c r="B45" s="73"/>
      <c r="C45" s="73"/>
      <c r="E45" s="131"/>
      <c r="F45" s="277" t="s">
        <v>75</v>
      </c>
      <c r="G45" s="276">
        <v>0</v>
      </c>
      <c r="H45" s="247">
        <f>H44*G45</f>
        <v>0</v>
      </c>
      <c r="L45" s="1"/>
      <c r="M45" s="91"/>
    </row>
    <row r="46" spans="1:13" ht="19.5" thickBot="1" x14ac:dyDescent="0.35">
      <c r="A46" s="1"/>
      <c r="B46" s="1"/>
      <c r="C46" s="1"/>
      <c r="D46" s="1"/>
      <c r="E46" s="1"/>
      <c r="F46" s="132" t="s">
        <v>67</v>
      </c>
      <c r="G46" s="133"/>
      <c r="H46" s="183">
        <f>(H44-H45)</f>
        <v>0</v>
      </c>
      <c r="L46" s="1"/>
      <c r="M46" s="91"/>
    </row>
    <row r="47" spans="1:13" ht="18.75" x14ac:dyDescent="0.3">
      <c r="A47" s="1"/>
      <c r="B47" s="1"/>
      <c r="C47" s="1"/>
      <c r="D47" s="1"/>
      <c r="E47" s="1"/>
      <c r="F47" s="132"/>
      <c r="G47" s="132"/>
      <c r="J47" s="157"/>
      <c r="L47" s="1"/>
      <c r="M47" s="91"/>
    </row>
    <row r="48" spans="1:13" ht="18.75" x14ac:dyDescent="0.3">
      <c r="A48" s="1"/>
      <c r="B48" s="1"/>
      <c r="C48" s="1"/>
      <c r="D48" s="1"/>
      <c r="E48" s="1"/>
      <c r="F48" s="132"/>
      <c r="G48" s="132"/>
      <c r="L48" s="1"/>
      <c r="M48" s="91"/>
    </row>
    <row r="49" spans="1:13" ht="18.75" x14ac:dyDescent="0.3">
      <c r="A49" s="1"/>
      <c r="B49" s="1"/>
      <c r="C49" s="1"/>
      <c r="D49" s="1"/>
      <c r="E49" s="1"/>
      <c r="F49" s="132"/>
      <c r="G49" s="132"/>
      <c r="L49" s="1"/>
      <c r="M49" s="91"/>
    </row>
    <row r="50" spans="1:13" ht="18.75" x14ac:dyDescent="0.3">
      <c r="A50" s="1"/>
      <c r="B50" s="1"/>
      <c r="C50" s="1"/>
      <c r="D50" s="1"/>
      <c r="E50" s="1"/>
      <c r="F50" s="132"/>
      <c r="G50" s="132"/>
      <c r="L50" s="1"/>
      <c r="M50" s="91"/>
    </row>
    <row r="51" spans="1:13" ht="17.25" x14ac:dyDescent="0.3">
      <c r="A51" s="1"/>
      <c r="B51" s="1"/>
      <c r="C51" s="1"/>
      <c r="D51" s="1"/>
      <c r="E51" s="1"/>
      <c r="F51" s="1"/>
      <c r="G51" s="1"/>
      <c r="H51" s="1"/>
      <c r="L51" s="1"/>
      <c r="M51" s="91"/>
    </row>
    <row r="52" spans="1:13" ht="17.25" x14ac:dyDescent="0.3">
      <c r="A52" s="76"/>
      <c r="B52" s="76"/>
      <c r="C52" s="76"/>
      <c r="D52" s="76"/>
      <c r="E52" s="76"/>
      <c r="F52" s="76"/>
      <c r="G52" s="76"/>
      <c r="H52" s="76"/>
      <c r="L52" s="1"/>
      <c r="M52" s="91"/>
    </row>
    <row r="53" spans="1:13" ht="18" thickBot="1" x14ac:dyDescent="0.35">
      <c r="L53" s="1"/>
      <c r="M53" s="91"/>
    </row>
    <row r="54" spans="1:13" ht="19.5" thickBot="1" x14ac:dyDescent="0.35">
      <c r="A54" s="192" t="s">
        <v>65</v>
      </c>
      <c r="B54" s="193"/>
      <c r="C54" s="194"/>
      <c r="D54" s="1"/>
      <c r="E54" s="1"/>
      <c r="F54" s="1"/>
      <c r="G54" s="1"/>
      <c r="H54" s="1"/>
      <c r="L54" s="1"/>
      <c r="M54" s="91"/>
    </row>
    <row r="55" spans="1:13" ht="18" thickBot="1" x14ac:dyDescent="0.35">
      <c r="A55" s="128" t="s">
        <v>13</v>
      </c>
      <c r="B55" s="119"/>
      <c r="C55" s="119"/>
      <c r="D55" s="188"/>
      <c r="E55" s="189"/>
      <c r="F55" s="119" t="s">
        <v>68</v>
      </c>
      <c r="G55" s="189" t="s">
        <v>14</v>
      </c>
      <c r="H55" s="190" t="s">
        <v>87</v>
      </c>
      <c r="L55" s="1"/>
      <c r="M55" s="91"/>
    </row>
    <row r="56" spans="1:13" ht="17.25" x14ac:dyDescent="0.3">
      <c r="A56" s="14"/>
      <c r="B56" s="14"/>
      <c r="C56" s="14"/>
      <c r="D56" s="14"/>
      <c r="E56" s="149"/>
      <c r="F56" s="149"/>
      <c r="G56" s="122"/>
      <c r="H56" s="149"/>
      <c r="L56" s="1"/>
      <c r="M56" s="91"/>
    </row>
    <row r="57" spans="1:13" ht="17.25" x14ac:dyDescent="0.3">
      <c r="A57" s="1" t="s">
        <v>129</v>
      </c>
      <c r="B57" s="61"/>
      <c r="C57" s="4"/>
      <c r="D57" s="1"/>
      <c r="E57" s="60"/>
      <c r="F57" s="60">
        <v>8000</v>
      </c>
      <c r="G57" s="3">
        <v>150</v>
      </c>
      <c r="H57" s="60">
        <f>G57*F57</f>
        <v>1200000</v>
      </c>
      <c r="L57" s="1"/>
      <c r="M57" s="91"/>
    </row>
    <row r="58" spans="1:13" ht="17.25" x14ac:dyDescent="0.3">
      <c r="A58" s="1"/>
      <c r="B58" s="61"/>
      <c r="F58" s="60"/>
      <c r="G58" s="3"/>
      <c r="H58" s="60"/>
      <c r="L58" s="1"/>
      <c r="M58" s="91"/>
    </row>
    <row r="59" spans="1:13" ht="17.25" x14ac:dyDescent="0.3">
      <c r="A59" s="1"/>
      <c r="L59" s="1"/>
      <c r="M59" s="91"/>
    </row>
    <row r="60" spans="1:13" ht="18" thickBot="1" x14ac:dyDescent="0.35">
      <c r="A60" s="1"/>
      <c r="B60" s="1"/>
      <c r="C60" s="1"/>
      <c r="D60" s="1" t="s">
        <v>128</v>
      </c>
      <c r="E60" s="60"/>
      <c r="F60" s="60"/>
      <c r="G60" s="3"/>
      <c r="H60" s="60"/>
      <c r="L60" s="1"/>
      <c r="M60" s="91"/>
    </row>
    <row r="61" spans="1:13" ht="18" thickBot="1" x14ac:dyDescent="0.35">
      <c r="A61" s="1"/>
      <c r="B61" s="1"/>
      <c r="C61" s="1"/>
      <c r="D61" s="1"/>
      <c r="E61" s="118"/>
      <c r="F61" s="62" t="s">
        <v>3</v>
      </c>
      <c r="G61" s="63">
        <f>SUM(G56:G59)</f>
        <v>150</v>
      </c>
      <c r="H61" s="95">
        <f>SUM(H56:H60)</f>
        <v>1200000</v>
      </c>
      <c r="L61" s="1"/>
      <c r="M61" s="91"/>
    </row>
    <row r="62" spans="1:13" ht="15.75" thickBot="1" x14ac:dyDescent="0.3"/>
    <row r="63" spans="1:13" ht="19.5" thickBot="1" x14ac:dyDescent="0.35">
      <c r="A63" s="202" t="s">
        <v>35</v>
      </c>
      <c r="B63" s="197"/>
      <c r="C63" s="197"/>
      <c r="D63" s="197"/>
      <c r="E63" s="313">
        <f>H61</f>
        <v>1200000</v>
      </c>
      <c r="F63" s="314"/>
      <c r="G63" s="314"/>
      <c r="H63" s="315"/>
      <c r="J63" s="5"/>
      <c r="K63" s="5"/>
      <c r="M63" s="1"/>
    </row>
    <row r="64" spans="1:13" ht="18.75" x14ac:dyDescent="0.3">
      <c r="A64" s="199" t="s">
        <v>84</v>
      </c>
      <c r="B64" s="198"/>
      <c r="C64" s="198"/>
      <c r="D64" s="198"/>
      <c r="E64" s="316" t="s">
        <v>130</v>
      </c>
      <c r="F64" s="316"/>
      <c r="G64" s="316"/>
      <c r="H64" s="316"/>
      <c r="L64" s="1"/>
      <c r="M64" s="1"/>
    </row>
    <row r="65" spans="1:13" ht="15.75" thickBot="1" x14ac:dyDescent="0.3">
      <c r="J65" t="s">
        <v>101</v>
      </c>
      <c r="K65" t="s">
        <v>102</v>
      </c>
      <c r="L65" t="s">
        <v>103</v>
      </c>
      <c r="M65" t="s">
        <v>104</v>
      </c>
    </row>
    <row r="66" spans="1:13" ht="20.25" thickBot="1" x14ac:dyDescent="0.3">
      <c r="A66" s="201" t="s">
        <v>44</v>
      </c>
      <c r="B66" s="59"/>
      <c r="C66" s="59"/>
      <c r="D66" s="59"/>
      <c r="E66" s="59"/>
      <c r="F66" s="59"/>
      <c r="G66" s="59"/>
      <c r="H66" s="127"/>
      <c r="J66" s="151" t="s">
        <v>93</v>
      </c>
      <c r="K66" s="156">
        <v>20000</v>
      </c>
      <c r="L66" s="90">
        <v>1</v>
      </c>
      <c r="M66" s="153">
        <f t="shared" ref="M66:M73" si="1">K66*L66</f>
        <v>20000</v>
      </c>
    </row>
    <row r="67" spans="1:13" x14ac:dyDescent="0.25">
      <c r="J67" s="116" t="s">
        <v>94</v>
      </c>
      <c r="K67" s="157">
        <v>3000</v>
      </c>
      <c r="L67">
        <v>4</v>
      </c>
      <c r="M67" s="154">
        <f t="shared" si="1"/>
        <v>12000</v>
      </c>
    </row>
    <row r="68" spans="1:13" ht="17.25" x14ac:dyDescent="0.25">
      <c r="A68" s="124" t="s">
        <v>21</v>
      </c>
      <c r="B68" s="125"/>
      <c r="C68" s="125"/>
      <c r="D68" s="126"/>
      <c r="E68" s="204">
        <f>IF($E$64="Medium",IF($E$63&gt;Data!D48,IF($E$63&gt;Data!D49,IF($E$63&gt;Data!D50,IF($E$63&gt;Data!D51,IF($E$63&gt;Data!D52,IF($E$63&gt;Data!D53,IF($E$63&gt;Data!D54,IF($E$63&gt;Data!D55,IF($E$63&gt;Data!D56,IF($E$63&gt;Data!D57,IF($E$63&gt;Data!D58,Data!E59,Data!E58),Data!E57),Data!E56),Data!E55),Data!E54),Data!E53),Data!E52),Data!E51),Data!E50),Data!E49),Data!E48),IF($E$64="High",(IF($E$63&gt;Data!D29,IF($E$63&gt;Data!D30,IF($E$63&gt;Data!D31,IF($E$63&gt;Data!D32,IF($E$63&gt;Data!D33,IF($E$63&gt;Data!D34,IF($E$63&gt;Data!D35,IF($E$63&gt;Data!D36,IF($E$63&gt;Data!D37,IF($E$63&gt;Data!D38,IF($E$63&gt;Data!D39,Data!E40,Data!E39),Data!E37),Data!E36),Data!E35),Data!E34),Data!E33),Data!E52),Data!E32),Data!E31),Data!E30),Data!E29)),IF($E$64="Low",(IF($E$63&gt;Data!D67,IF($E$63&gt;Data!D68,IF($E$63&gt;Data!D69,IF($E$63&gt;Data!D70,IF($E$63&gt;Data!D71,IF($E$63&gt;Data!D72,IF($E$63&gt;Data!D73,IF($E$63&gt;Data!D74,IF($E$63&gt;Data!D75,IF($E$63&gt;Data!D76,IF($E$63&gt;Data!D77,Data!E78,Data!E77),Data!E76),Data!E75),Data!E74),Data!E73),Data!E72),Data!E71),Data!E70),Data!E69),Data!E68),Data!E67)))))</f>
        <v>122193.97</v>
      </c>
      <c r="F68" s="129"/>
      <c r="G68" s="129"/>
      <c r="H68" s="130"/>
      <c r="J68" s="116" t="s">
        <v>95</v>
      </c>
      <c r="K68" s="157">
        <v>5000</v>
      </c>
      <c r="L68">
        <v>2</v>
      </c>
      <c r="M68" s="154">
        <f t="shared" si="1"/>
        <v>10000</v>
      </c>
    </row>
    <row r="69" spans="1:13" ht="17.25" x14ac:dyDescent="0.25">
      <c r="A69" s="134" t="s">
        <v>49</v>
      </c>
      <c r="B69" s="61"/>
      <c r="C69" s="61"/>
      <c r="D69" s="135"/>
      <c r="E69" s="205">
        <f>IF($E$64="Medium",($E$63-(VLOOKUP($E$68,Data!E48:G59,3,FALSE)))*(VLOOKUP($E$68,Data!E48:G59,2,FALSE)),IF($E$64="High",($E$63-(VLOOKUP($E$68,Data!E29:G40,3,FALSE)))*(VLOOKUP($E$68,Data!E29:G40,2,FALSE)),IF($E$64="Low",($E$63-(VLOOKUP($E$68,Data!E66:G78,3,FALSE)))*(VLOOKUP($E$68,Data!E66:G78,2,FALSE)))))</f>
        <v>68364.87569999999</v>
      </c>
      <c r="F69" s="77"/>
      <c r="G69" s="77"/>
      <c r="H69" s="139"/>
      <c r="J69" s="116" t="s">
        <v>96</v>
      </c>
      <c r="K69" s="157">
        <v>8000</v>
      </c>
      <c r="L69">
        <v>1</v>
      </c>
      <c r="M69" s="154">
        <f t="shared" si="1"/>
        <v>8000</v>
      </c>
    </row>
    <row r="70" spans="1:13" ht="17.25" x14ac:dyDescent="0.25">
      <c r="A70" s="134"/>
      <c r="B70" s="61"/>
      <c r="C70" s="61"/>
      <c r="D70" s="135"/>
      <c r="E70" s="205">
        <f>E68+E69</f>
        <v>190558.84570000001</v>
      </c>
      <c r="F70" s="77"/>
      <c r="G70" s="77"/>
      <c r="H70" s="139"/>
      <c r="J70" s="116" t="s">
        <v>100</v>
      </c>
      <c r="K70" s="157">
        <v>5000</v>
      </c>
      <c r="L70">
        <v>1</v>
      </c>
      <c r="M70" s="154">
        <f t="shared" si="1"/>
        <v>5000</v>
      </c>
    </row>
    <row r="71" spans="1:13" ht="17.25" x14ac:dyDescent="0.25">
      <c r="A71" s="134" t="s">
        <v>52</v>
      </c>
      <c r="B71" s="61"/>
      <c r="C71" s="61"/>
      <c r="D71" s="135"/>
      <c r="E71" s="206">
        <v>0</v>
      </c>
      <c r="F71" s="4"/>
      <c r="G71" s="4"/>
      <c r="H71" s="142"/>
      <c r="J71" s="116" t="s">
        <v>97</v>
      </c>
      <c r="K71" s="157">
        <v>2000</v>
      </c>
      <c r="L71">
        <v>1</v>
      </c>
      <c r="M71" s="154">
        <f t="shared" si="1"/>
        <v>2000</v>
      </c>
    </row>
    <row r="72" spans="1:13" ht="18" x14ac:dyDescent="0.25">
      <c r="A72" s="136" t="s">
        <v>54</v>
      </c>
      <c r="B72" s="137"/>
      <c r="C72" s="137"/>
      <c r="D72" s="138"/>
      <c r="E72" s="207">
        <f>E70+E71</f>
        <v>190558.84570000001</v>
      </c>
      <c r="F72" s="140"/>
      <c r="G72" s="140"/>
      <c r="H72" s="141"/>
      <c r="J72" s="116" t="s">
        <v>98</v>
      </c>
      <c r="K72" s="157">
        <v>7000</v>
      </c>
      <c r="L72">
        <v>1</v>
      </c>
      <c r="M72" s="154">
        <f t="shared" si="1"/>
        <v>7000</v>
      </c>
    </row>
    <row r="73" spans="1:13" ht="15.75" thickBot="1" x14ac:dyDescent="0.3">
      <c r="J73" s="116" t="s">
        <v>99</v>
      </c>
      <c r="K73" s="157">
        <v>15000</v>
      </c>
      <c r="L73">
        <v>1</v>
      </c>
      <c r="M73" s="154">
        <f t="shared" si="1"/>
        <v>15000</v>
      </c>
    </row>
    <row r="74" spans="1:13" ht="19.5" thickBot="1" x14ac:dyDescent="0.35">
      <c r="A74" s="203" t="s">
        <v>36</v>
      </c>
      <c r="B74" s="143"/>
      <c r="C74" s="143"/>
      <c r="D74" s="144"/>
      <c r="E74" s="110" t="s">
        <v>37</v>
      </c>
      <c r="F74" s="110" t="s">
        <v>117</v>
      </c>
      <c r="G74" s="121" t="s">
        <v>66</v>
      </c>
      <c r="H74" s="110" t="s">
        <v>116</v>
      </c>
      <c r="I74" s="1"/>
      <c r="J74" s="152"/>
      <c r="K74" s="117"/>
      <c r="L74" s="117"/>
      <c r="M74" s="155">
        <f>SUM(M66:M73)</f>
        <v>79000</v>
      </c>
    </row>
    <row r="75" spans="1:13" ht="17.25" x14ac:dyDescent="0.3">
      <c r="A75" s="82" t="s">
        <v>123</v>
      </c>
      <c r="B75" s="122" t="s">
        <v>127</v>
      </c>
      <c r="C75" s="122"/>
      <c r="D75" s="122"/>
      <c r="E75" s="107">
        <v>0.02</v>
      </c>
      <c r="F75" s="81">
        <f>$E$72*E75</f>
        <v>3811.1769140000001</v>
      </c>
      <c r="G75" s="107">
        <v>0.3</v>
      </c>
      <c r="H75" s="108">
        <f>IF(G75=0,F75,F75-(F75*G75))</f>
        <v>2667.8238398000003</v>
      </c>
    </row>
    <row r="76" spans="1:13" ht="17.25" x14ac:dyDescent="0.3">
      <c r="A76" s="86" t="s">
        <v>122</v>
      </c>
      <c r="B76" s="3" t="s">
        <v>125</v>
      </c>
      <c r="C76" s="3"/>
      <c r="D76" s="3"/>
      <c r="E76" s="209">
        <v>0.15</v>
      </c>
      <c r="F76" s="5">
        <f t="shared" ref="F76:F81" si="2">$E$72*E76</f>
        <v>28583.826854999999</v>
      </c>
      <c r="G76" s="209">
        <v>0.3</v>
      </c>
      <c r="H76" s="85">
        <f t="shared" ref="H76:H81" si="3">IF(G76=0,F76,F76-(F76*G76))</f>
        <v>20008.678798499997</v>
      </c>
    </row>
    <row r="77" spans="1:13" ht="17.25" x14ac:dyDescent="0.3">
      <c r="A77" s="86" t="s">
        <v>121</v>
      </c>
      <c r="B77" s="3" t="s">
        <v>124</v>
      </c>
      <c r="C77" s="3"/>
      <c r="D77" s="3"/>
      <c r="E77" s="209">
        <v>0.2</v>
      </c>
      <c r="F77" s="5">
        <f t="shared" si="2"/>
        <v>38111.769140000004</v>
      </c>
      <c r="G77" s="209">
        <v>0.3</v>
      </c>
      <c r="H77" s="85">
        <f t="shared" si="3"/>
        <v>26678.238398000001</v>
      </c>
    </row>
    <row r="78" spans="1:13" ht="17.25" x14ac:dyDescent="0.3">
      <c r="A78" s="86" t="s">
        <v>45</v>
      </c>
      <c r="B78" s="3" t="s">
        <v>46</v>
      </c>
      <c r="C78" s="3"/>
      <c r="D78" s="3"/>
      <c r="E78" s="209">
        <v>0.1</v>
      </c>
      <c r="F78" s="5">
        <f t="shared" si="2"/>
        <v>19055.884570000002</v>
      </c>
      <c r="G78" s="209">
        <v>0.2</v>
      </c>
      <c r="H78" s="85">
        <f t="shared" si="3"/>
        <v>15244.707656000002</v>
      </c>
    </row>
    <row r="79" spans="1:13" ht="17.25" x14ac:dyDescent="0.3">
      <c r="A79" s="86" t="s">
        <v>57</v>
      </c>
      <c r="B79" s="3" t="s">
        <v>47</v>
      </c>
      <c r="C79" s="3"/>
      <c r="D79" s="3"/>
      <c r="E79" s="209">
        <v>0.2</v>
      </c>
      <c r="F79" s="5">
        <f t="shared" si="2"/>
        <v>38111.769140000004</v>
      </c>
      <c r="G79" s="209">
        <v>0.2</v>
      </c>
      <c r="H79" s="85">
        <f>IF(G79=0,F79,F79-(F79*G79))</f>
        <v>30489.415312000005</v>
      </c>
    </row>
    <row r="80" spans="1:13" ht="17.25" x14ac:dyDescent="0.3">
      <c r="A80" s="86" t="s">
        <v>50</v>
      </c>
      <c r="B80" s="3" t="s">
        <v>126</v>
      </c>
      <c r="C80" s="3"/>
      <c r="D80" s="3"/>
      <c r="E80" s="209">
        <v>0.3</v>
      </c>
      <c r="F80" s="5">
        <f t="shared" si="2"/>
        <v>57167.653709999999</v>
      </c>
      <c r="G80" s="209">
        <v>0</v>
      </c>
      <c r="H80" s="85">
        <f>IF(G80=0,F80,F80-(F80*G80))</f>
        <v>57167.653709999999</v>
      </c>
    </row>
    <row r="81" spans="1:10" ht="18" thickBot="1" x14ac:dyDescent="0.35">
      <c r="A81" s="87" t="s">
        <v>120</v>
      </c>
      <c r="B81" s="123" t="s">
        <v>119</v>
      </c>
      <c r="C81" s="123"/>
      <c r="D81" s="123"/>
      <c r="E81" s="109">
        <v>0.03</v>
      </c>
      <c r="F81" s="83">
        <f t="shared" si="2"/>
        <v>5716.7653709999995</v>
      </c>
      <c r="G81" s="109">
        <v>0</v>
      </c>
      <c r="H81" s="84">
        <f t="shared" si="3"/>
        <v>5716.7653709999995</v>
      </c>
    </row>
    <row r="82" spans="1:10" ht="18" thickBot="1" x14ac:dyDescent="0.35">
      <c r="A82" s="1"/>
      <c r="B82" s="1"/>
      <c r="C82" s="1"/>
      <c r="F82" s="1"/>
      <c r="G82" s="3"/>
      <c r="H82" s="1"/>
    </row>
    <row r="83" spans="1:10" ht="19.5" thickBot="1" x14ac:dyDescent="0.35">
      <c r="A83" s="1"/>
      <c r="B83" s="1"/>
      <c r="C83" s="1"/>
      <c r="E83" s="306" t="s">
        <v>90</v>
      </c>
      <c r="F83" s="307"/>
      <c r="G83" s="308"/>
      <c r="H83" s="115">
        <f>H84*(1-(SUM(H75:H81)/H84))</f>
        <v>32585.562614700008</v>
      </c>
    </row>
    <row r="84" spans="1:10" ht="19.5" thickBot="1" x14ac:dyDescent="0.35">
      <c r="B84" s="111"/>
      <c r="C84" s="111"/>
      <c r="E84" s="306" t="s">
        <v>53</v>
      </c>
      <c r="F84" s="307"/>
      <c r="G84" s="308"/>
      <c r="H84" s="115">
        <f>SUM(F75:F81)</f>
        <v>190558.84570000001</v>
      </c>
    </row>
    <row r="85" spans="1:10" ht="15.75" thickBot="1" x14ac:dyDescent="0.3"/>
    <row r="86" spans="1:10" ht="18.75" thickBot="1" x14ac:dyDescent="0.3">
      <c r="E86" s="309" t="s">
        <v>114</v>
      </c>
      <c r="F86" s="310"/>
      <c r="G86" s="311"/>
      <c r="H86" s="112">
        <f>H84-H83</f>
        <v>157973.28308530001</v>
      </c>
    </row>
    <row r="87" spans="1:10" ht="17.25" x14ac:dyDescent="0.3">
      <c r="A87" s="1"/>
      <c r="B87" s="208"/>
      <c r="C87" s="185"/>
      <c r="D87" s="185"/>
      <c r="E87" s="60"/>
      <c r="F87" s="168"/>
      <c r="G87" s="4"/>
      <c r="H87" s="77"/>
    </row>
    <row r="88" spans="1:10" x14ac:dyDescent="0.25">
      <c r="J88" s="213"/>
    </row>
    <row r="89" spans="1:10" x14ac:dyDescent="0.25">
      <c r="D89" s="312"/>
      <c r="E89" s="312"/>
      <c r="J89" s="213"/>
    </row>
    <row r="90" spans="1:10" x14ac:dyDescent="0.25">
      <c r="J90" s="213"/>
    </row>
    <row r="91" spans="1:10" x14ac:dyDescent="0.25">
      <c r="D91" s="312"/>
      <c r="E91" s="312"/>
      <c r="J91" s="213"/>
    </row>
    <row r="92" spans="1:10" x14ac:dyDescent="0.25">
      <c r="J92" s="214"/>
    </row>
    <row r="93" spans="1:10" x14ac:dyDescent="0.25">
      <c r="D93" s="312"/>
      <c r="E93" s="312"/>
      <c r="F93" s="312"/>
      <c r="G93" s="312"/>
    </row>
    <row r="94" spans="1:10" x14ac:dyDescent="0.25">
      <c r="D94" s="312"/>
      <c r="E94" s="312"/>
      <c r="F94" s="312"/>
      <c r="G94" s="312"/>
    </row>
    <row r="95" spans="1:10" x14ac:dyDescent="0.25">
      <c r="D95" s="312"/>
      <c r="E95" s="312"/>
      <c r="F95" s="312"/>
      <c r="G95" s="312"/>
    </row>
    <row r="96" spans="1:10" x14ac:dyDescent="0.25">
      <c r="D96" s="312"/>
      <c r="E96" s="312"/>
      <c r="F96" s="312"/>
      <c r="G96" s="312"/>
    </row>
    <row r="97" spans="4:13" x14ac:dyDescent="0.25">
      <c r="D97" s="312"/>
      <c r="E97" s="312"/>
      <c r="F97" s="312"/>
      <c r="G97" s="312"/>
    </row>
    <row r="98" spans="4:13" x14ac:dyDescent="0.25">
      <c r="D98" s="312"/>
      <c r="E98" s="312"/>
      <c r="F98" s="312"/>
      <c r="G98" s="312"/>
    </row>
    <row r="99" spans="4:13" x14ac:dyDescent="0.25">
      <c r="D99" s="312"/>
      <c r="E99" s="312"/>
      <c r="F99" s="312"/>
      <c r="G99" s="312"/>
      <c r="K99" s="91"/>
    </row>
    <row r="100" spans="4:13" x14ac:dyDescent="0.25">
      <c r="D100" s="312"/>
      <c r="E100" s="312"/>
      <c r="F100" s="312"/>
      <c r="G100" s="312"/>
    </row>
    <row r="102" spans="4:13" x14ac:dyDescent="0.25">
      <c r="D102" s="312"/>
      <c r="E102" s="312"/>
      <c r="F102" s="312"/>
      <c r="G102" s="312"/>
      <c r="M102" s="157"/>
    </row>
    <row r="113" spans="4:14" ht="22.5" customHeight="1" x14ac:dyDescent="0.25"/>
    <row r="115" spans="4:14" x14ac:dyDescent="0.25">
      <c r="D115" s="312"/>
      <c r="E115" s="312"/>
      <c r="J115" s="210"/>
      <c r="L115" s="157"/>
    </row>
    <row r="116" spans="4:14" x14ac:dyDescent="0.25">
      <c r="D116" s="312"/>
      <c r="E116" s="312"/>
      <c r="L116" s="210"/>
      <c r="M116" s="157"/>
    </row>
    <row r="117" spans="4:14" x14ac:dyDescent="0.25">
      <c r="D117" s="312"/>
      <c r="E117" s="312"/>
    </row>
    <row r="118" spans="4:14" x14ac:dyDescent="0.25">
      <c r="M118" s="91"/>
    </row>
    <row r="121" spans="4:14" x14ac:dyDescent="0.25">
      <c r="N121" s="157"/>
    </row>
    <row r="124" spans="4:14" x14ac:dyDescent="0.25">
      <c r="K124" s="114"/>
    </row>
    <row r="125" spans="4:14" x14ac:dyDescent="0.25">
      <c r="K125" s="113"/>
    </row>
  </sheetData>
  <mergeCells count="36">
    <mergeCell ref="J15:L15"/>
    <mergeCell ref="J19:L19"/>
    <mergeCell ref="B16:C16"/>
    <mergeCell ref="A11:H11"/>
    <mergeCell ref="A13:C13"/>
    <mergeCell ref="A14:C14"/>
    <mergeCell ref="A15:B15"/>
    <mergeCell ref="D117:E117"/>
    <mergeCell ref="D115:E115"/>
    <mergeCell ref="E83:G83"/>
    <mergeCell ref="E63:H63"/>
    <mergeCell ref="E64:H64"/>
    <mergeCell ref="F93:G93"/>
    <mergeCell ref="F94:G94"/>
    <mergeCell ref="F95:G95"/>
    <mergeCell ref="F96:G96"/>
    <mergeCell ref="F97:G97"/>
    <mergeCell ref="F98:G98"/>
    <mergeCell ref="F99:G99"/>
    <mergeCell ref="D102:E102"/>
    <mergeCell ref="D93:E93"/>
    <mergeCell ref="D91:E91"/>
    <mergeCell ref="D89:E89"/>
    <mergeCell ref="A21:B21"/>
    <mergeCell ref="E84:G84"/>
    <mergeCell ref="E86:G86"/>
    <mergeCell ref="D116:E116"/>
    <mergeCell ref="D94:E94"/>
    <mergeCell ref="D95:E95"/>
    <mergeCell ref="D96:E96"/>
    <mergeCell ref="D97:E97"/>
    <mergeCell ref="D98:E98"/>
    <mergeCell ref="D99:E99"/>
    <mergeCell ref="F102:G102"/>
    <mergeCell ref="D100:E100"/>
    <mergeCell ref="F100:G100"/>
  </mergeCells>
  <phoneticPr fontId="25" type="noConversion"/>
  <dataValidations count="2">
    <dataValidation type="list" allowBlank="1" showInputMessage="1" showErrorMessage="1" sqref="E64" xr:uid="{ECF54CF7-43CA-4261-8A26-6CBCF5480061}">
      <formula1>"Low,Medium,High"</formula1>
    </dataValidation>
    <dataValidation type="list" allowBlank="1" showInputMessage="1" showErrorMessage="1" sqref="D16:D19 D38:D41 D22:D27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CD9EB-35DD-4682-B831-FE644E8D0651}">
  <dimension ref="A1:N124"/>
  <sheetViews>
    <sheetView topLeftCell="A32" zoomScaleNormal="100" workbookViewId="0">
      <selection activeCell="C47" sqref="C47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324" t="s">
        <v>12</v>
      </c>
      <c r="B11" s="325"/>
      <c r="C11" s="325"/>
      <c r="D11" s="325"/>
      <c r="E11" s="325"/>
      <c r="F11" s="325"/>
      <c r="G11" s="325"/>
      <c r="H11" s="326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27" t="s">
        <v>63</v>
      </c>
      <c r="B13" s="328"/>
      <c r="C13" s="329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30" t="s">
        <v>59</v>
      </c>
      <c r="B14" s="331"/>
      <c r="C14" s="331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4" t="s">
        <v>76</v>
      </c>
      <c r="B15" s="305"/>
      <c r="C15" s="71"/>
      <c r="D15" s="71"/>
      <c r="E15" s="71"/>
      <c r="F15" s="74">
        <f>SUM(F16:F19)</f>
        <v>27</v>
      </c>
      <c r="G15" s="215">
        <f>SUM(G16:G19)</f>
        <v>3.375</v>
      </c>
      <c r="H15" s="184">
        <f ca="1">SUM(H16:H19)</f>
        <v>17943</v>
      </c>
      <c r="I15" s="1"/>
      <c r="J15" s="317" t="s">
        <v>71</v>
      </c>
      <c r="K15" s="318"/>
      <c r="L15" s="319"/>
      <c r="M15" s="150">
        <f>G15</f>
        <v>3.375</v>
      </c>
    </row>
    <row r="16" spans="1:13" ht="17.25" x14ac:dyDescent="0.3">
      <c r="A16" s="180" t="s">
        <v>170</v>
      </c>
      <c r="B16" s="323"/>
      <c r="C16" s="323"/>
      <c r="D16" s="60" t="s">
        <v>167</v>
      </c>
      <c r="E16" s="60">
        <f ca="1">IF(D16="Dewald", Employees!$G$19,IF(D16="Hannes",Employees!$G$19,IF(D16="Johan",Employees!$G$20,"")))</f>
        <v>650</v>
      </c>
      <c r="F16" s="3">
        <v>4</v>
      </c>
      <c r="G16" s="181">
        <f t="shared" ref="G16" si="0">IF(F16="","",F16/8)</f>
        <v>0.5</v>
      </c>
      <c r="H16" s="182">
        <f t="shared" ref="H16" ca="1" si="1">IF(E16="","",F16*E16)</f>
        <v>2600</v>
      </c>
      <c r="I16" s="1"/>
      <c r="M16" s="3"/>
    </row>
    <row r="17" spans="1:14" ht="17.25" x14ac:dyDescent="0.3">
      <c r="A17" s="274" t="s">
        <v>171</v>
      </c>
      <c r="B17" s="1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v>3</v>
      </c>
      <c r="G17" s="181">
        <f>IF(F17="","",F17/8)</f>
        <v>0.375</v>
      </c>
      <c r="H17" s="182">
        <f>IF(E17="","",F17*E17)</f>
        <v>2343</v>
      </c>
      <c r="I17" s="1"/>
      <c r="M17" s="3"/>
    </row>
    <row r="18" spans="1:14" ht="18" thickBot="1" x14ac:dyDescent="0.35">
      <c r="A18" s="274" t="s">
        <v>169</v>
      </c>
      <c r="B18" s="1"/>
      <c r="C18" s="1"/>
      <c r="D18" s="60" t="s">
        <v>167</v>
      </c>
      <c r="E18" s="60">
        <f ca="1">IF(D18="Dewald", Employees!$G$19,IF(D18="Hannes",Employees!$G$19,IF(D18="Johan",Employees!$G$20,"")))</f>
        <v>650</v>
      </c>
      <c r="F18" s="3">
        <f>2*8</f>
        <v>16</v>
      </c>
      <c r="G18" s="181">
        <f>IF(F18="","",F18/8)</f>
        <v>2</v>
      </c>
      <c r="H18" s="182">
        <f ca="1">IF(E18="","",F18*E18)</f>
        <v>10400</v>
      </c>
      <c r="I18" s="1"/>
      <c r="M18" s="3"/>
    </row>
    <row r="19" spans="1:14" ht="18" thickBot="1" x14ac:dyDescent="0.35">
      <c r="A19" s="180" t="s">
        <v>77</v>
      </c>
      <c r="D19" s="60" t="s">
        <v>167</v>
      </c>
      <c r="E19" s="60">
        <f ca="1">IF(D19="Dewald", Employees!$G$19,IF(D19="Hannes",Employees!$G$19,IF(D19="Johan",Employees!$G$20,"")))</f>
        <v>650</v>
      </c>
      <c r="F19" s="3">
        <f>4</f>
        <v>4</v>
      </c>
      <c r="G19" s="181">
        <f>IF(F19="","",F19/8)</f>
        <v>0.5</v>
      </c>
      <c r="H19" s="182">
        <f ca="1">IF(E19="","",F19*E19)</f>
        <v>2600</v>
      </c>
      <c r="I19" s="1"/>
      <c r="J19" s="320" t="s">
        <v>74</v>
      </c>
      <c r="K19" s="321"/>
      <c r="L19" s="322"/>
      <c r="M19" s="103">
        <f ca="1">H30/M15</f>
        <v>7242.3703703703704</v>
      </c>
    </row>
    <row r="20" spans="1:14" ht="18" thickBot="1" x14ac:dyDescent="0.35">
      <c r="I20" s="1"/>
      <c r="M20" s="94"/>
    </row>
    <row r="21" spans="1:14" ht="18" thickBot="1" x14ac:dyDescent="0.35">
      <c r="A21" s="304" t="s">
        <v>168</v>
      </c>
      <c r="B21" s="305"/>
      <c r="C21" s="71"/>
      <c r="D21" s="71"/>
      <c r="E21" s="71"/>
      <c r="F21" s="74">
        <f>SUM(F22:F25)</f>
        <v>10</v>
      </c>
      <c r="G21" s="215">
        <f>SUM(G22:G25)</f>
        <v>1.25</v>
      </c>
      <c r="H21" s="184">
        <f ca="1">SUM(H22:H25)</f>
        <v>6500</v>
      </c>
      <c r="I21" s="1"/>
      <c r="M21" s="94"/>
    </row>
    <row r="22" spans="1:14" ht="17.25" x14ac:dyDescent="0.3">
      <c r="A22" s="274" t="s">
        <v>173</v>
      </c>
      <c r="B22" s="1"/>
      <c r="C22" s="1"/>
      <c r="D22" s="60" t="s">
        <v>73</v>
      </c>
      <c r="E22" s="60">
        <v>650</v>
      </c>
      <c r="F22" s="3">
        <f>1*4</f>
        <v>4</v>
      </c>
      <c r="G22" s="181">
        <f>IF(F22="","",F22/8)</f>
        <v>0.5</v>
      </c>
      <c r="H22" s="182">
        <f>IF(E22="","",F22*E22)</f>
        <v>2600</v>
      </c>
      <c r="I22" s="1"/>
      <c r="M22" s="94"/>
    </row>
    <row r="23" spans="1:14" ht="17.25" x14ac:dyDescent="0.3">
      <c r="A23" s="274" t="s">
        <v>172</v>
      </c>
      <c r="B23" s="1"/>
      <c r="C23" s="1"/>
      <c r="D23" s="60" t="s">
        <v>167</v>
      </c>
      <c r="E23" s="60">
        <f ca="1">IF(D23="Dewald", Employees!$G$19,IF(D23="Hannes",Employees!$G$19,IF(D23="Johan",Employees!$G$20,"")))</f>
        <v>650</v>
      </c>
      <c r="F23" s="3">
        <f>1*2</f>
        <v>2</v>
      </c>
      <c r="G23" s="181">
        <f>IF(F23="","",F23/8)</f>
        <v>0.25</v>
      </c>
      <c r="H23" s="182">
        <f ca="1">IF(E23="","",F23*E23)</f>
        <v>1300</v>
      </c>
      <c r="I23" s="1"/>
      <c r="M23" s="94"/>
    </row>
    <row r="24" spans="1:14" ht="17.25" x14ac:dyDescent="0.3">
      <c r="A24" s="180" t="s">
        <v>77</v>
      </c>
      <c r="D24" s="60" t="s">
        <v>167</v>
      </c>
      <c r="E24" s="60">
        <f ca="1">IF(D24="Dewald", Employees!$G$19,IF(D24="Hannes",Employees!$G$19,IF(D24="Johan",Employees!$G$20,"")))</f>
        <v>650</v>
      </c>
      <c r="F24" s="3">
        <f>4</f>
        <v>4</v>
      </c>
      <c r="G24" s="181">
        <f>IF(F24="","",F24/8)</f>
        <v>0.5</v>
      </c>
      <c r="H24" s="182">
        <f ca="1">IF(E24="","",F24*E24)</f>
        <v>2600</v>
      </c>
      <c r="I24" s="1"/>
      <c r="M24" s="94"/>
    </row>
    <row r="25" spans="1:14" ht="17.25" x14ac:dyDescent="0.3">
      <c r="I25" s="1"/>
      <c r="M25" s="94"/>
    </row>
    <row r="26" spans="1:14" ht="18" thickBot="1" x14ac:dyDescent="0.35">
      <c r="I26" s="1"/>
    </row>
    <row r="27" spans="1:14" ht="18" thickBot="1" x14ac:dyDescent="0.35">
      <c r="G27" s="181" t="str">
        <f t="shared" ref="G27" si="2">IF(F27="","",F27/8)</f>
        <v/>
      </c>
      <c r="H27" s="157"/>
      <c r="I27" s="1"/>
      <c r="J27" s="98" t="s">
        <v>89</v>
      </c>
      <c r="K27" s="100" t="s">
        <v>83</v>
      </c>
      <c r="L27" s="101" t="s">
        <v>78</v>
      </c>
      <c r="M27" s="102" t="s">
        <v>81</v>
      </c>
      <c r="N27" s="99" t="s">
        <v>79</v>
      </c>
    </row>
    <row r="28" spans="1:14" ht="18" x14ac:dyDescent="0.3">
      <c r="A28" s="73"/>
      <c r="B28" s="73"/>
      <c r="D28" s="89"/>
      <c r="E28" s="262"/>
      <c r="F28" s="263" t="s">
        <v>113</v>
      </c>
      <c r="G28" s="264"/>
      <c r="H28" s="265">
        <f ca="1">H21+H15</f>
        <v>24443</v>
      </c>
      <c r="I28" s="1"/>
      <c r="J28" s="104">
        <f ca="1">H30</f>
        <v>24443</v>
      </c>
      <c r="K28" s="60">
        <f ca="1">J28*0.05</f>
        <v>1222.1500000000001</v>
      </c>
      <c r="L28" s="60">
        <f ca="1">J28-K28</f>
        <v>23220.85</v>
      </c>
      <c r="M28" s="104">
        <f ca="1">L28-N28</f>
        <v>13545.495833333332</v>
      </c>
      <c r="N28" s="106">
        <f ca="1">L28/2.4</f>
        <v>9675.3541666666661</v>
      </c>
    </row>
    <row r="29" spans="1:14" ht="18.75" thickBot="1" x14ac:dyDescent="0.35">
      <c r="A29" s="73"/>
      <c r="B29" s="73"/>
      <c r="C29" s="73"/>
      <c r="F29" s="277" t="s">
        <v>75</v>
      </c>
      <c r="G29" s="276">
        <v>0</v>
      </c>
      <c r="H29" s="247">
        <f ca="1">H28*G29</f>
        <v>0</v>
      </c>
      <c r="I29" s="1"/>
      <c r="M29" s="94"/>
    </row>
    <row r="30" spans="1:14" ht="19.5" thickBot="1" x14ac:dyDescent="0.35">
      <c r="A30" s="1"/>
      <c r="B30" s="1"/>
      <c r="C30" s="1"/>
      <c r="D30" s="1"/>
      <c r="F30" s="132" t="s">
        <v>67</v>
      </c>
      <c r="G30" s="133"/>
      <c r="H30" s="183">
        <f ca="1">(H28-H29)</f>
        <v>24443</v>
      </c>
      <c r="I30" s="1"/>
      <c r="J30" s="97" t="s">
        <v>80</v>
      </c>
      <c r="K30" s="92"/>
      <c r="L30" s="92"/>
      <c r="M30" s="105">
        <f ca="1">M28*0.15</f>
        <v>2031.8243749999997</v>
      </c>
    </row>
    <row r="31" spans="1:14" ht="18" thickBot="1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14" ht="18" thickBot="1" x14ac:dyDescent="0.35">
      <c r="A32" s="76"/>
      <c r="B32" s="76"/>
      <c r="C32" s="76"/>
      <c r="D32" s="76"/>
      <c r="E32" s="76"/>
      <c r="F32" s="76"/>
      <c r="G32" s="76"/>
      <c r="H32" s="76"/>
      <c r="I32" s="1"/>
      <c r="J32" s="96" t="s">
        <v>82</v>
      </c>
      <c r="K32" s="92"/>
      <c r="L32" s="92"/>
      <c r="M32" s="105">
        <f ca="1">M28-M30</f>
        <v>11513.671458333332</v>
      </c>
    </row>
    <row r="33" spans="1:13" ht="18" thickBot="1" x14ac:dyDescent="0.35">
      <c r="H33" s="157"/>
      <c r="I33" s="1"/>
    </row>
    <row r="34" spans="1:13" ht="19.5" thickBot="1" x14ac:dyDescent="0.35">
      <c r="A34" s="191" t="s">
        <v>69</v>
      </c>
      <c r="B34" s="145"/>
      <c r="C34" s="146"/>
      <c r="D34" s="1"/>
      <c r="E34" s="3"/>
      <c r="F34" s="1"/>
      <c r="G34" s="1"/>
      <c r="H34" s="1"/>
      <c r="I34" s="1"/>
      <c r="J34" s="1"/>
      <c r="K34" s="91"/>
      <c r="M34" s="94"/>
    </row>
    <row r="35" spans="1:13" ht="18" thickBot="1" x14ac:dyDescent="0.35">
      <c r="A35" s="128" t="s">
        <v>59</v>
      </c>
      <c r="B35" s="119"/>
      <c r="C35" s="119"/>
      <c r="D35" s="119"/>
      <c r="E35" s="119"/>
      <c r="F35" s="119"/>
      <c r="G35" s="196"/>
      <c r="H35" s="120"/>
    </row>
    <row r="36" spans="1:13" ht="18" thickBot="1" x14ac:dyDescent="0.35">
      <c r="I36" s="1"/>
      <c r="J36" s="159" t="s">
        <v>108</v>
      </c>
      <c r="K36" s="159" t="s">
        <v>109</v>
      </c>
      <c r="L36" s="159" t="s">
        <v>110</v>
      </c>
      <c r="M36" s="60"/>
    </row>
    <row r="37" spans="1:13" ht="18" thickBot="1" x14ac:dyDescent="0.35">
      <c r="A37" s="147" t="s">
        <v>176</v>
      </c>
      <c r="B37" s="148"/>
      <c r="C37" s="71"/>
      <c r="D37" s="119" t="s">
        <v>61</v>
      </c>
      <c r="E37" s="119" t="s">
        <v>68</v>
      </c>
      <c r="F37" s="119" t="s">
        <v>70</v>
      </c>
      <c r="G37" s="195"/>
      <c r="H37" s="278">
        <f>SUM(H38:H41)</f>
        <v>45950</v>
      </c>
      <c r="I37" s="1"/>
      <c r="J37" s="160" t="s">
        <v>105</v>
      </c>
      <c r="K37" s="161">
        <v>0.6</v>
      </c>
      <c r="L37" s="162">
        <f ca="1">J28*K37</f>
        <v>14665.8</v>
      </c>
    </row>
    <row r="38" spans="1:13" ht="17.25" x14ac:dyDescent="0.3">
      <c r="A38" s="273" t="s">
        <v>175</v>
      </c>
      <c r="D38" s="60" t="s">
        <v>73</v>
      </c>
      <c r="E38" s="5">
        <v>35</v>
      </c>
      <c r="F38" s="1">
        <v>490</v>
      </c>
      <c r="H38" s="270">
        <f>F38*E38</f>
        <v>17150</v>
      </c>
      <c r="I38" s="1"/>
      <c r="J38" s="160" t="s">
        <v>106</v>
      </c>
      <c r="K38" s="161">
        <v>0.32</v>
      </c>
      <c r="L38" s="162">
        <f ca="1">J28*K38</f>
        <v>7821.76</v>
      </c>
    </row>
    <row r="39" spans="1:13" ht="18" thickBot="1" x14ac:dyDescent="0.35">
      <c r="A39" s="274" t="s">
        <v>174</v>
      </c>
      <c r="B39" s="180"/>
      <c r="C39" s="1"/>
      <c r="D39" s="60" t="s">
        <v>73</v>
      </c>
      <c r="E39" s="5">
        <v>80</v>
      </c>
      <c r="F39" s="1">
        <v>110</v>
      </c>
      <c r="G39" s="70"/>
      <c r="H39" s="271">
        <f>F39*E39</f>
        <v>8800</v>
      </c>
      <c r="J39" s="163" t="s">
        <v>107</v>
      </c>
      <c r="K39" s="164">
        <v>0.08</v>
      </c>
      <c r="L39" s="165">
        <f ca="1">J28*K39</f>
        <v>1955.44</v>
      </c>
      <c r="M39" s="1"/>
    </row>
    <row r="40" spans="1:13" ht="18" thickBot="1" x14ac:dyDescent="0.35">
      <c r="A40" s="274" t="s">
        <v>169</v>
      </c>
      <c r="D40" s="60" t="s">
        <v>73</v>
      </c>
      <c r="E40" s="5">
        <v>150</v>
      </c>
      <c r="F40" s="1">
        <v>120</v>
      </c>
      <c r="H40" s="271">
        <f>F40*E40</f>
        <v>18000</v>
      </c>
      <c r="J40" s="166" t="s">
        <v>3</v>
      </c>
      <c r="K40" s="167">
        <f>SUM(K37:K39)</f>
        <v>0.99999999999999989</v>
      </c>
      <c r="L40" s="158">
        <f ca="1">SUM(L37:L39)</f>
        <v>24442.999999999996</v>
      </c>
      <c r="M40" s="1"/>
    </row>
    <row r="41" spans="1:13" ht="17.25" x14ac:dyDescent="0.3">
      <c r="A41" s="275" t="s">
        <v>77</v>
      </c>
      <c r="B41" s="266"/>
      <c r="C41" s="178"/>
      <c r="D41" s="267" t="s">
        <v>73</v>
      </c>
      <c r="E41" s="268"/>
      <c r="F41" s="178"/>
      <c r="G41" s="269"/>
      <c r="H41" s="272">
        <v>2000</v>
      </c>
      <c r="M41" s="1"/>
    </row>
    <row r="42" spans="1:13" ht="17.25" x14ac:dyDescent="0.3">
      <c r="M42" s="1"/>
    </row>
    <row r="43" spans="1:13" ht="18.75" x14ac:dyDescent="0.3">
      <c r="A43" s="1"/>
      <c r="B43" s="1"/>
      <c r="C43" s="1"/>
      <c r="D43" s="1"/>
      <c r="E43" s="1"/>
      <c r="F43" s="132"/>
      <c r="G43" s="132"/>
      <c r="J43" s="157"/>
      <c r="M43" s="1"/>
    </row>
    <row r="44" spans="1:13" ht="18" x14ac:dyDescent="0.3">
      <c r="A44" s="73"/>
      <c r="C44" s="73"/>
      <c r="D44" s="73"/>
      <c r="E44" s="262"/>
      <c r="F44" s="263" t="s">
        <v>113</v>
      </c>
      <c r="G44" s="264"/>
      <c r="H44" s="279">
        <f>H37</f>
        <v>45950</v>
      </c>
      <c r="L44" s="1"/>
      <c r="M44" s="91"/>
    </row>
    <row r="45" spans="1:13" ht="18.75" thickBot="1" x14ac:dyDescent="0.35">
      <c r="A45" s="73"/>
      <c r="B45" s="73"/>
      <c r="C45" s="73"/>
      <c r="E45" s="131"/>
      <c r="F45" s="277" t="s">
        <v>75</v>
      </c>
      <c r="G45" s="276">
        <v>0</v>
      </c>
      <c r="H45" s="247">
        <f>H44*G45</f>
        <v>0</v>
      </c>
      <c r="L45" s="1"/>
      <c r="M45" s="91"/>
    </row>
    <row r="46" spans="1:13" ht="19.5" thickBot="1" x14ac:dyDescent="0.35">
      <c r="A46" s="1"/>
      <c r="B46" s="1"/>
      <c r="C46" s="1"/>
      <c r="D46" s="1"/>
      <c r="E46" s="1"/>
      <c r="F46" s="132" t="s">
        <v>67</v>
      </c>
      <c r="G46" s="133"/>
      <c r="H46" s="183">
        <f>(H44-H45)</f>
        <v>45950</v>
      </c>
      <c r="J46" s="157"/>
      <c r="L46" s="1"/>
      <c r="M46" s="91"/>
    </row>
    <row r="47" spans="1:13" ht="18.75" x14ac:dyDescent="0.3">
      <c r="A47" s="1"/>
      <c r="B47" s="1"/>
      <c r="C47" s="1"/>
      <c r="D47" s="1"/>
      <c r="E47" s="1"/>
      <c r="F47" s="132"/>
      <c r="G47" s="132"/>
      <c r="L47" s="1"/>
      <c r="M47" s="91"/>
    </row>
    <row r="48" spans="1:13" ht="18.75" x14ac:dyDescent="0.3">
      <c r="A48" s="1"/>
      <c r="B48" s="1"/>
      <c r="C48" s="1"/>
      <c r="D48" s="1"/>
      <c r="E48" s="1"/>
      <c r="F48" s="132"/>
      <c r="G48" s="132"/>
      <c r="L48" s="1"/>
      <c r="M48" s="91"/>
    </row>
    <row r="49" spans="1:13" ht="18.75" x14ac:dyDescent="0.3">
      <c r="A49" s="1"/>
      <c r="B49" s="1"/>
      <c r="C49" s="1"/>
      <c r="D49" s="1"/>
      <c r="E49" s="1"/>
      <c r="F49" s="132"/>
      <c r="G49" s="132"/>
      <c r="L49" s="1"/>
      <c r="M49" s="91"/>
    </row>
    <row r="50" spans="1:13" ht="18.75" x14ac:dyDescent="0.3">
      <c r="A50" s="1"/>
      <c r="B50" s="1"/>
      <c r="C50" s="1"/>
      <c r="D50" s="1"/>
      <c r="E50" s="1"/>
      <c r="F50" s="132"/>
      <c r="G50" s="132"/>
      <c r="L50" s="1"/>
      <c r="M50" s="91"/>
    </row>
    <row r="51" spans="1:13" ht="17.25" x14ac:dyDescent="0.3">
      <c r="A51" s="1"/>
      <c r="B51" s="1"/>
      <c r="C51" s="1"/>
      <c r="D51" s="1"/>
      <c r="E51" s="1"/>
      <c r="F51" s="1"/>
      <c r="G51" s="1"/>
      <c r="H51" s="1"/>
      <c r="L51" s="1"/>
      <c r="M51" s="91"/>
    </row>
    <row r="52" spans="1:13" ht="17.25" x14ac:dyDescent="0.3">
      <c r="A52" s="76"/>
      <c r="B52" s="76"/>
      <c r="C52" s="76"/>
      <c r="D52" s="76"/>
      <c r="E52" s="76"/>
      <c r="F52" s="76"/>
      <c r="G52" s="76"/>
      <c r="H52" s="76"/>
      <c r="L52" s="1"/>
      <c r="M52" s="91"/>
    </row>
    <row r="53" spans="1:13" ht="18" thickBot="1" x14ac:dyDescent="0.35">
      <c r="L53" s="1"/>
      <c r="M53" s="91"/>
    </row>
    <row r="54" spans="1:13" ht="19.5" thickBot="1" x14ac:dyDescent="0.35">
      <c r="A54" s="192" t="s">
        <v>65</v>
      </c>
      <c r="B54" s="193"/>
      <c r="C54" s="194"/>
      <c r="D54" s="1"/>
      <c r="E54" s="1"/>
      <c r="F54" s="1"/>
      <c r="G54" s="1"/>
      <c r="H54" s="1"/>
      <c r="L54" s="1"/>
      <c r="M54" s="91"/>
    </row>
    <row r="55" spans="1:13" ht="18" thickBot="1" x14ac:dyDescent="0.35">
      <c r="A55" s="128" t="s">
        <v>13</v>
      </c>
      <c r="B55" s="119"/>
      <c r="C55" s="119"/>
      <c r="D55" s="188"/>
      <c r="E55" s="189"/>
      <c r="F55" s="119" t="s">
        <v>68</v>
      </c>
      <c r="G55" s="189" t="s">
        <v>14</v>
      </c>
      <c r="H55" s="190" t="s">
        <v>87</v>
      </c>
      <c r="L55" s="1"/>
      <c r="M55" s="91"/>
    </row>
    <row r="56" spans="1:13" ht="17.25" x14ac:dyDescent="0.3">
      <c r="A56" s="14"/>
      <c r="B56" s="14"/>
      <c r="C56" s="14"/>
      <c r="D56" s="14"/>
      <c r="E56" s="149"/>
      <c r="F56" s="149"/>
      <c r="G56" s="122"/>
      <c r="H56" s="149"/>
      <c r="L56" s="1"/>
      <c r="M56" s="91"/>
    </row>
    <row r="57" spans="1:13" ht="17.25" x14ac:dyDescent="0.3">
      <c r="A57" s="1" t="s">
        <v>129</v>
      </c>
      <c r="B57" s="61"/>
      <c r="C57" s="4"/>
      <c r="D57" s="1"/>
      <c r="E57" s="60"/>
      <c r="F57" s="60">
        <v>8000</v>
      </c>
      <c r="G57" s="3">
        <v>150</v>
      </c>
      <c r="H57" s="60">
        <f>G57*F57</f>
        <v>1200000</v>
      </c>
      <c r="L57" s="1"/>
      <c r="M57" s="91"/>
    </row>
    <row r="58" spans="1:13" ht="17.25" x14ac:dyDescent="0.3">
      <c r="A58" s="1"/>
      <c r="B58" s="61"/>
      <c r="F58" s="60"/>
      <c r="G58" s="3"/>
      <c r="H58" s="60"/>
      <c r="L58" s="1"/>
      <c r="M58" s="91"/>
    </row>
    <row r="59" spans="1:13" ht="17.25" x14ac:dyDescent="0.3">
      <c r="A59" s="1"/>
      <c r="L59" s="1"/>
      <c r="M59" s="91"/>
    </row>
    <row r="60" spans="1:13" ht="18" thickBot="1" x14ac:dyDescent="0.35">
      <c r="A60" s="1"/>
      <c r="B60" s="1"/>
      <c r="C60" s="1"/>
      <c r="D60" s="1" t="s">
        <v>128</v>
      </c>
      <c r="E60" s="60"/>
      <c r="F60" s="60"/>
      <c r="G60" s="3"/>
      <c r="H60" s="60"/>
      <c r="L60" s="1"/>
      <c r="M60" s="91"/>
    </row>
    <row r="61" spans="1:13" ht="18" thickBot="1" x14ac:dyDescent="0.35">
      <c r="A61" s="1"/>
      <c r="B61" s="1"/>
      <c r="C61" s="1"/>
      <c r="D61" s="1"/>
      <c r="E61" s="118"/>
      <c r="F61" s="62" t="s">
        <v>3</v>
      </c>
      <c r="G61" s="63">
        <f>SUM(G56:G59)</f>
        <v>150</v>
      </c>
      <c r="H61" s="95">
        <f>SUM(H56:H60)</f>
        <v>1200000</v>
      </c>
    </row>
    <row r="62" spans="1:13" ht="18" thickBot="1" x14ac:dyDescent="0.35">
      <c r="J62" s="5"/>
      <c r="K62" s="5"/>
      <c r="M62" s="1"/>
    </row>
    <row r="63" spans="1:13" ht="19.5" thickBot="1" x14ac:dyDescent="0.35">
      <c r="A63" s="202" t="s">
        <v>35</v>
      </c>
      <c r="B63" s="197"/>
      <c r="C63" s="197"/>
      <c r="D63" s="197"/>
      <c r="E63" s="313">
        <f>H61</f>
        <v>1200000</v>
      </c>
      <c r="F63" s="314"/>
      <c r="G63" s="314"/>
      <c r="H63" s="315"/>
      <c r="L63" s="1"/>
      <c r="M63" s="1"/>
    </row>
    <row r="64" spans="1:13" ht="19.5" thickBot="1" x14ac:dyDescent="0.35">
      <c r="A64" s="199" t="s">
        <v>84</v>
      </c>
      <c r="B64" s="198"/>
      <c r="C64" s="198"/>
      <c r="D64" s="198"/>
      <c r="E64" s="316" t="s">
        <v>130</v>
      </c>
      <c r="F64" s="316"/>
      <c r="G64" s="316"/>
      <c r="H64" s="316"/>
      <c r="J64" t="s">
        <v>101</v>
      </c>
      <c r="K64" t="s">
        <v>102</v>
      </c>
      <c r="L64" t="s">
        <v>103</v>
      </c>
      <c r="M64" t="s">
        <v>104</v>
      </c>
    </row>
    <row r="65" spans="1:13" ht="15.75" thickBot="1" x14ac:dyDescent="0.3">
      <c r="J65" s="151" t="s">
        <v>93</v>
      </c>
      <c r="K65" s="156">
        <v>20000</v>
      </c>
      <c r="L65" s="90">
        <v>1</v>
      </c>
      <c r="M65" s="153">
        <f t="shared" ref="M65:M72" si="3">K65*L65</f>
        <v>20000</v>
      </c>
    </row>
    <row r="66" spans="1:13" ht="20.25" thickBot="1" x14ac:dyDescent="0.3">
      <c r="A66" s="201" t="s">
        <v>44</v>
      </c>
      <c r="B66" s="59"/>
      <c r="C66" s="59"/>
      <c r="D66" s="59"/>
      <c r="E66" s="59"/>
      <c r="F66" s="59"/>
      <c r="G66" s="59"/>
      <c r="H66" s="127"/>
      <c r="J66" s="116" t="s">
        <v>94</v>
      </c>
      <c r="K66" s="157">
        <v>3000</v>
      </c>
      <c r="L66">
        <v>4</v>
      </c>
      <c r="M66" s="154">
        <f t="shared" si="3"/>
        <v>12000</v>
      </c>
    </row>
    <row r="67" spans="1:13" x14ac:dyDescent="0.25">
      <c r="J67" s="116" t="s">
        <v>95</v>
      </c>
      <c r="K67" s="157">
        <v>5000</v>
      </c>
      <c r="L67">
        <v>2</v>
      </c>
      <c r="M67" s="154">
        <f t="shared" si="3"/>
        <v>10000</v>
      </c>
    </row>
    <row r="68" spans="1:13" ht="17.25" x14ac:dyDescent="0.25">
      <c r="A68" s="124" t="s">
        <v>21</v>
      </c>
      <c r="B68" s="125"/>
      <c r="C68" s="125"/>
      <c r="D68" s="126"/>
      <c r="E68" s="204">
        <f>IF($E$64="Medium",IF($E$63&gt;Data!D48,IF($E$63&gt;Data!D49,IF($E$63&gt;Data!D50,IF($E$63&gt;Data!D51,IF($E$63&gt;Data!D52,IF($E$63&gt;Data!D53,IF($E$63&gt;Data!D54,IF($E$63&gt;Data!D55,IF($E$63&gt;Data!D56,IF($E$63&gt;Data!D57,IF($E$63&gt;Data!D58,Data!E59,Data!E58),Data!E57),Data!E56),Data!E55),Data!E54),Data!E53),Data!E52),Data!E51),Data!E50),Data!E49),Data!E48),IF($E$64="High",(IF($E$63&gt;Data!D29,IF($E$63&gt;Data!D30,IF($E$63&gt;Data!D31,IF($E$63&gt;Data!D32,IF($E$63&gt;Data!D33,IF($E$63&gt;Data!D34,IF($E$63&gt;Data!D35,IF($E$63&gt;Data!D36,IF($E$63&gt;Data!D37,IF($E$63&gt;Data!D38,IF($E$63&gt;Data!D39,Data!E40,Data!E39),Data!E37),Data!E36),Data!E35),Data!E34),Data!E33),Data!E52),Data!E32),Data!E31),Data!E30),Data!E29)),IF($E$64="Low",(IF($E$63&gt;Data!D67,IF($E$63&gt;Data!D68,IF($E$63&gt;Data!D69,IF($E$63&gt;Data!D70,IF($E$63&gt;Data!D71,IF($E$63&gt;Data!D72,IF($E$63&gt;Data!D73,IF($E$63&gt;Data!D74,IF($E$63&gt;Data!D75,IF($E$63&gt;Data!D76,IF($E$63&gt;Data!D77,Data!E78,Data!E77),Data!E76),Data!E75),Data!E74),Data!E73),Data!E72),Data!E71),Data!E70),Data!E69),Data!E68),Data!E67)))))</f>
        <v>122193.97</v>
      </c>
      <c r="F68" s="129"/>
      <c r="G68" s="129"/>
      <c r="H68" s="130"/>
      <c r="J68" s="116" t="s">
        <v>96</v>
      </c>
      <c r="K68" s="157">
        <v>8000</v>
      </c>
      <c r="L68">
        <v>1</v>
      </c>
      <c r="M68" s="154">
        <f t="shared" si="3"/>
        <v>8000</v>
      </c>
    </row>
    <row r="69" spans="1:13" ht="17.25" x14ac:dyDescent="0.25">
      <c r="A69" s="134" t="s">
        <v>49</v>
      </c>
      <c r="B69" s="61"/>
      <c r="C69" s="61"/>
      <c r="D69" s="135"/>
      <c r="E69" s="205">
        <f>IF($E$64="Medium",($E$63-(VLOOKUP($E$68,Data!E48:G59,3,FALSE)))*(VLOOKUP($E$68,Data!E48:G59,2,FALSE)),IF($E$64="High",($E$63-(VLOOKUP($E$68,Data!E29:G40,3,FALSE)))*(VLOOKUP($E$68,Data!E29:G40,2,FALSE)),IF($E$64="Low",($E$63-(VLOOKUP($E$68,Data!E66:G78,3,FALSE)))*(VLOOKUP($E$68,Data!E66:G78,2,FALSE)))))</f>
        <v>68364.87569999999</v>
      </c>
      <c r="F69" s="77"/>
      <c r="G69" s="77"/>
      <c r="H69" s="139"/>
      <c r="J69" s="116" t="s">
        <v>100</v>
      </c>
      <c r="K69" s="157">
        <v>5000</v>
      </c>
      <c r="L69">
        <v>1</v>
      </c>
      <c r="M69" s="154">
        <f t="shared" si="3"/>
        <v>5000</v>
      </c>
    </row>
    <row r="70" spans="1:13" ht="17.25" x14ac:dyDescent="0.25">
      <c r="A70" s="134"/>
      <c r="B70" s="61"/>
      <c r="C70" s="61"/>
      <c r="D70" s="135"/>
      <c r="E70" s="205">
        <f>E68+E69</f>
        <v>190558.84570000001</v>
      </c>
      <c r="F70" s="77"/>
      <c r="G70" s="77"/>
      <c r="H70" s="139"/>
      <c r="J70" s="116" t="s">
        <v>97</v>
      </c>
      <c r="K70" s="157">
        <v>2000</v>
      </c>
      <c r="L70">
        <v>1</v>
      </c>
      <c r="M70" s="154">
        <f t="shared" si="3"/>
        <v>2000</v>
      </c>
    </row>
    <row r="71" spans="1:13" ht="17.25" x14ac:dyDescent="0.25">
      <c r="A71" s="134" t="s">
        <v>52</v>
      </c>
      <c r="B71" s="61"/>
      <c r="C71" s="61"/>
      <c r="D71" s="135"/>
      <c r="E71" s="206">
        <v>0</v>
      </c>
      <c r="F71" s="4"/>
      <c r="G71" s="4"/>
      <c r="H71" s="142"/>
      <c r="J71" s="116" t="s">
        <v>98</v>
      </c>
      <c r="K71" s="157">
        <v>7000</v>
      </c>
      <c r="L71">
        <v>1</v>
      </c>
      <c r="M71" s="154">
        <f t="shared" si="3"/>
        <v>7000</v>
      </c>
    </row>
    <row r="72" spans="1:13" ht="18.75" thickBot="1" x14ac:dyDescent="0.3">
      <c r="A72" s="136" t="s">
        <v>54</v>
      </c>
      <c r="B72" s="137"/>
      <c r="C72" s="137"/>
      <c r="D72" s="138"/>
      <c r="E72" s="207">
        <f>E70+E71</f>
        <v>190558.84570000001</v>
      </c>
      <c r="F72" s="140"/>
      <c r="G72" s="140"/>
      <c r="H72" s="141"/>
      <c r="J72" s="116" t="s">
        <v>99</v>
      </c>
      <c r="K72" s="157">
        <v>15000</v>
      </c>
      <c r="L72">
        <v>1</v>
      </c>
      <c r="M72" s="154">
        <f t="shared" si="3"/>
        <v>15000</v>
      </c>
    </row>
    <row r="73" spans="1:13" ht="18" thickBot="1" x14ac:dyDescent="0.35">
      <c r="I73" s="1"/>
      <c r="J73" s="152"/>
      <c r="K73" s="117"/>
      <c r="L73" s="117"/>
      <c r="M73" s="155">
        <f>SUM(M65:M72)</f>
        <v>79000</v>
      </c>
    </row>
    <row r="74" spans="1:13" ht="19.5" thickBot="1" x14ac:dyDescent="0.35">
      <c r="A74" s="203" t="s">
        <v>36</v>
      </c>
      <c r="B74" s="143"/>
      <c r="C74" s="143"/>
      <c r="D74" s="144"/>
      <c r="E74" s="110" t="s">
        <v>37</v>
      </c>
      <c r="F74" s="110" t="s">
        <v>117</v>
      </c>
      <c r="G74" s="121" t="s">
        <v>66</v>
      </c>
      <c r="H74" s="110" t="s">
        <v>116</v>
      </c>
    </row>
    <row r="75" spans="1:13" ht="17.25" x14ac:dyDescent="0.3">
      <c r="A75" s="82" t="s">
        <v>123</v>
      </c>
      <c r="B75" s="122" t="s">
        <v>127</v>
      </c>
      <c r="C75" s="122"/>
      <c r="D75" s="122"/>
      <c r="E75" s="107">
        <v>0.02</v>
      </c>
      <c r="F75" s="81">
        <f>$E$72*E75</f>
        <v>3811.1769140000001</v>
      </c>
      <c r="G75" s="107">
        <v>0.3</v>
      </c>
      <c r="H75" s="108">
        <f>IF(G75=0,F75,F75-(F75*G75))</f>
        <v>2667.8238398000003</v>
      </c>
    </row>
    <row r="76" spans="1:13" ht="17.25" x14ac:dyDescent="0.3">
      <c r="A76" s="86" t="s">
        <v>122</v>
      </c>
      <c r="B76" s="3" t="s">
        <v>125</v>
      </c>
      <c r="C76" s="3"/>
      <c r="D76" s="3"/>
      <c r="E76" s="209">
        <v>0.15</v>
      </c>
      <c r="F76" s="5">
        <f t="shared" ref="F76:F81" si="4">$E$72*E76</f>
        <v>28583.826854999999</v>
      </c>
      <c r="G76" s="209">
        <v>0.3</v>
      </c>
      <c r="H76" s="85">
        <f t="shared" ref="H76:H81" si="5">IF(G76=0,F76,F76-(F76*G76))</f>
        <v>20008.678798499997</v>
      </c>
    </row>
    <row r="77" spans="1:13" ht="17.25" x14ac:dyDescent="0.3">
      <c r="A77" s="86" t="s">
        <v>121</v>
      </c>
      <c r="B77" s="3" t="s">
        <v>124</v>
      </c>
      <c r="C77" s="3"/>
      <c r="D77" s="3"/>
      <c r="E77" s="209">
        <v>0.2</v>
      </c>
      <c r="F77" s="5">
        <f t="shared" si="4"/>
        <v>38111.769140000004</v>
      </c>
      <c r="G77" s="209">
        <v>0.3</v>
      </c>
      <c r="H77" s="85">
        <f t="shared" si="5"/>
        <v>26678.238398000001</v>
      </c>
    </row>
    <row r="78" spans="1:13" ht="17.25" x14ac:dyDescent="0.3">
      <c r="A78" s="86" t="s">
        <v>45</v>
      </c>
      <c r="B78" s="3" t="s">
        <v>46</v>
      </c>
      <c r="C78" s="3"/>
      <c r="D78" s="3"/>
      <c r="E78" s="209">
        <v>0.1</v>
      </c>
      <c r="F78" s="5">
        <f t="shared" si="4"/>
        <v>19055.884570000002</v>
      </c>
      <c r="G78" s="209">
        <v>0.2</v>
      </c>
      <c r="H78" s="85">
        <f t="shared" si="5"/>
        <v>15244.707656000002</v>
      </c>
    </row>
    <row r="79" spans="1:13" ht="17.25" x14ac:dyDescent="0.3">
      <c r="A79" s="86" t="s">
        <v>57</v>
      </c>
      <c r="B79" s="3" t="s">
        <v>47</v>
      </c>
      <c r="C79" s="3"/>
      <c r="D79" s="3"/>
      <c r="E79" s="209">
        <v>0.2</v>
      </c>
      <c r="F79" s="5">
        <f t="shared" si="4"/>
        <v>38111.769140000004</v>
      </c>
      <c r="G79" s="209">
        <v>0.2</v>
      </c>
      <c r="H79" s="85">
        <f>IF(G79=0,F79,F79-(F79*G79))</f>
        <v>30489.415312000005</v>
      </c>
    </row>
    <row r="80" spans="1:13" ht="17.25" x14ac:dyDescent="0.3">
      <c r="A80" s="86" t="s">
        <v>50</v>
      </c>
      <c r="B80" s="3" t="s">
        <v>126</v>
      </c>
      <c r="C80" s="3"/>
      <c r="D80" s="3"/>
      <c r="E80" s="209">
        <v>0.3</v>
      </c>
      <c r="F80" s="5">
        <f t="shared" si="4"/>
        <v>57167.653709999999</v>
      </c>
      <c r="G80" s="209">
        <v>0</v>
      </c>
      <c r="H80" s="85">
        <f>IF(G80=0,F80,F80-(F80*G80))</f>
        <v>57167.653709999999</v>
      </c>
    </row>
    <row r="81" spans="1:10" ht="18" thickBot="1" x14ac:dyDescent="0.35">
      <c r="A81" s="87" t="s">
        <v>120</v>
      </c>
      <c r="B81" s="123" t="s">
        <v>119</v>
      </c>
      <c r="C81" s="123"/>
      <c r="D81" s="123"/>
      <c r="E81" s="109">
        <v>0.03</v>
      </c>
      <c r="F81" s="83">
        <f t="shared" si="4"/>
        <v>5716.7653709999995</v>
      </c>
      <c r="G81" s="109">
        <v>0</v>
      </c>
      <c r="H81" s="84">
        <f t="shared" si="5"/>
        <v>5716.7653709999995</v>
      </c>
    </row>
    <row r="82" spans="1:10" ht="18" thickBot="1" x14ac:dyDescent="0.35">
      <c r="A82" s="1"/>
      <c r="B82" s="1"/>
      <c r="C82" s="1"/>
      <c r="F82" s="1"/>
      <c r="G82" s="3"/>
      <c r="H82" s="1"/>
    </row>
    <row r="83" spans="1:10" ht="19.5" thickBot="1" x14ac:dyDescent="0.35">
      <c r="A83" s="1"/>
      <c r="B83" s="1"/>
      <c r="C83" s="1"/>
      <c r="E83" s="306" t="s">
        <v>90</v>
      </c>
      <c r="F83" s="307"/>
      <c r="G83" s="308"/>
      <c r="H83" s="115">
        <f>H84*(1-(SUM(H75:H81)/H84))</f>
        <v>32585.562614700008</v>
      </c>
    </row>
    <row r="84" spans="1:10" ht="19.5" thickBot="1" x14ac:dyDescent="0.35">
      <c r="B84" s="111"/>
      <c r="C84" s="111"/>
      <c r="E84" s="306" t="s">
        <v>53</v>
      </c>
      <c r="F84" s="307"/>
      <c r="G84" s="308"/>
      <c r="H84" s="115">
        <f>SUM(F75:F81)</f>
        <v>190558.84570000001</v>
      </c>
    </row>
    <row r="85" spans="1:10" ht="15.75" thickBot="1" x14ac:dyDescent="0.3"/>
    <row r="86" spans="1:10" ht="18.75" thickBot="1" x14ac:dyDescent="0.3">
      <c r="E86" s="309" t="s">
        <v>114</v>
      </c>
      <c r="F86" s="310"/>
      <c r="G86" s="311"/>
      <c r="H86" s="112">
        <f>H84-H83</f>
        <v>157973.28308530001</v>
      </c>
    </row>
    <row r="87" spans="1:10" ht="17.25" x14ac:dyDescent="0.3">
      <c r="A87" s="1"/>
      <c r="B87" s="208"/>
      <c r="C87" s="185"/>
      <c r="D87" s="185"/>
      <c r="E87" s="60"/>
      <c r="F87" s="168"/>
      <c r="G87" s="4"/>
      <c r="H87" s="77"/>
      <c r="J87" s="213"/>
    </row>
    <row r="88" spans="1:10" x14ac:dyDescent="0.25">
      <c r="J88" s="213"/>
    </row>
    <row r="89" spans="1:10" x14ac:dyDescent="0.25">
      <c r="D89" s="312"/>
      <c r="E89" s="312"/>
      <c r="J89" s="213"/>
    </row>
    <row r="90" spans="1:10" x14ac:dyDescent="0.25">
      <c r="J90" s="213"/>
    </row>
    <row r="91" spans="1:10" x14ac:dyDescent="0.25">
      <c r="D91" s="312"/>
      <c r="E91" s="312"/>
      <c r="J91" s="214"/>
    </row>
    <row r="93" spans="1:10" x14ac:dyDescent="0.25">
      <c r="D93" s="312"/>
      <c r="E93" s="312"/>
      <c r="F93" s="312"/>
      <c r="G93" s="312"/>
    </row>
    <row r="94" spans="1:10" x14ac:dyDescent="0.25">
      <c r="D94" s="312"/>
      <c r="E94" s="312"/>
      <c r="F94" s="312"/>
      <c r="G94" s="312"/>
    </row>
    <row r="95" spans="1:10" x14ac:dyDescent="0.25">
      <c r="D95" s="312"/>
      <c r="E95" s="312"/>
      <c r="F95" s="312"/>
      <c r="G95" s="312"/>
    </row>
    <row r="96" spans="1:10" x14ac:dyDescent="0.25">
      <c r="D96" s="312"/>
      <c r="E96" s="312"/>
      <c r="F96" s="312"/>
      <c r="G96" s="312"/>
    </row>
    <row r="97" spans="4:13" x14ac:dyDescent="0.25">
      <c r="D97" s="312"/>
      <c r="E97" s="312"/>
      <c r="F97" s="312"/>
      <c r="G97" s="312"/>
    </row>
    <row r="98" spans="4:13" x14ac:dyDescent="0.25">
      <c r="D98" s="312"/>
      <c r="E98" s="312"/>
      <c r="F98" s="312"/>
      <c r="G98" s="312"/>
      <c r="K98" s="91"/>
    </row>
    <row r="99" spans="4:13" x14ac:dyDescent="0.25">
      <c r="D99" s="312"/>
      <c r="E99" s="312"/>
      <c r="F99" s="312"/>
      <c r="G99" s="312"/>
    </row>
    <row r="100" spans="4:13" x14ac:dyDescent="0.25">
      <c r="D100" s="312"/>
      <c r="E100" s="312"/>
      <c r="F100" s="312"/>
      <c r="G100" s="312"/>
    </row>
    <row r="101" spans="4:13" x14ac:dyDescent="0.25">
      <c r="M101" s="157"/>
    </row>
    <row r="102" spans="4:13" x14ac:dyDescent="0.25">
      <c r="D102" s="312"/>
      <c r="E102" s="312"/>
      <c r="F102" s="312"/>
      <c r="G102" s="312"/>
    </row>
    <row r="112" spans="4:13" ht="22.5" customHeight="1" x14ac:dyDescent="0.25"/>
    <row r="114" spans="4:14" x14ac:dyDescent="0.25">
      <c r="J114" s="210"/>
      <c r="L114" s="157"/>
    </row>
    <row r="115" spans="4:14" x14ac:dyDescent="0.25">
      <c r="D115" s="312"/>
      <c r="E115" s="312"/>
      <c r="L115" s="210"/>
      <c r="M115" s="157"/>
    </row>
    <row r="116" spans="4:14" x14ac:dyDescent="0.25">
      <c r="D116" s="312"/>
      <c r="E116" s="312"/>
    </row>
    <row r="117" spans="4:14" x14ac:dyDescent="0.25">
      <c r="D117" s="312"/>
      <c r="E117" s="312"/>
      <c r="M117" s="91"/>
    </row>
    <row r="120" spans="4:14" x14ac:dyDescent="0.25">
      <c r="N120" s="157"/>
    </row>
    <row r="123" spans="4:14" x14ac:dyDescent="0.25">
      <c r="K123" s="114"/>
    </row>
    <row r="124" spans="4:14" x14ac:dyDescent="0.25">
      <c r="K124" s="113"/>
    </row>
  </sheetData>
  <mergeCells count="36">
    <mergeCell ref="B16:C16"/>
    <mergeCell ref="A11:H11"/>
    <mergeCell ref="A13:C13"/>
    <mergeCell ref="A14:C14"/>
    <mergeCell ref="A15:B15"/>
    <mergeCell ref="J15:L15"/>
    <mergeCell ref="D94:E94"/>
    <mergeCell ref="F94:G94"/>
    <mergeCell ref="J19:L19"/>
    <mergeCell ref="A21:B21"/>
    <mergeCell ref="E63:H63"/>
    <mergeCell ref="E64:H64"/>
    <mergeCell ref="E83:G83"/>
    <mergeCell ref="E84:G84"/>
    <mergeCell ref="E86:G86"/>
    <mergeCell ref="D89:E89"/>
    <mergeCell ref="D91:E91"/>
    <mergeCell ref="D93:E93"/>
    <mergeCell ref="F93:G93"/>
    <mergeCell ref="D95:E95"/>
    <mergeCell ref="F95:G95"/>
    <mergeCell ref="D96:E96"/>
    <mergeCell ref="F96:G96"/>
    <mergeCell ref="D97:E97"/>
    <mergeCell ref="F97:G97"/>
    <mergeCell ref="D98:E98"/>
    <mergeCell ref="F98:G98"/>
    <mergeCell ref="D99:E99"/>
    <mergeCell ref="F99:G99"/>
    <mergeCell ref="D100:E100"/>
    <mergeCell ref="F100:G100"/>
    <mergeCell ref="D102:E102"/>
    <mergeCell ref="F102:G102"/>
    <mergeCell ref="D115:E115"/>
    <mergeCell ref="D116:E116"/>
    <mergeCell ref="D117:E117"/>
  </mergeCells>
  <dataValidations count="2">
    <dataValidation type="list" allowBlank="1" showInputMessage="1" showErrorMessage="1" sqref="D16:D19 D38:D41 D22:D27" xr:uid="{506E51E6-7E1D-4131-A265-4D2086CBF3D2}">
      <formula1>"Dewald, Hannes, Johan"</formula1>
    </dataValidation>
    <dataValidation type="list" allowBlank="1" showInputMessage="1" showErrorMessage="1" sqref="E64" xr:uid="{C8526B11-FA29-46D1-B99C-A65005D20FA7}">
      <formula1>"Low,Medium,High"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79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78">
        <f>Employees!G19</f>
        <v>781</v>
      </c>
      <c r="G5" s="5">
        <f>F5*G3</f>
        <v>7029</v>
      </c>
      <c r="H5" s="80">
        <f>G5+E5</f>
        <v>10802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34" t="s">
        <v>44</v>
      </c>
      <c r="C13" s="335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32" t="s">
        <v>53</v>
      </c>
      <c r="O14" s="333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36" t="s">
        <v>18</v>
      </c>
      <c r="C24" s="336"/>
      <c r="D24" s="336"/>
      <c r="E24" s="336"/>
      <c r="F24" s="336"/>
      <c r="G24" s="336"/>
    </row>
    <row r="25" spans="2:12" x14ac:dyDescent="0.3">
      <c r="B25" s="337" t="s">
        <v>19</v>
      </c>
      <c r="C25" s="337" t="s">
        <v>20</v>
      </c>
      <c r="D25" s="337"/>
      <c r="E25" s="337" t="s">
        <v>21</v>
      </c>
      <c r="F25" s="337" t="s">
        <v>22</v>
      </c>
      <c r="G25" s="337"/>
      <c r="J25" s="173" t="s">
        <v>86</v>
      </c>
      <c r="K25" s="174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5">
        <f>VLOOKUP(K25,E29:G40,2,FALSE)</f>
        <v>0.15090000000000001</v>
      </c>
    </row>
    <row r="26" spans="2:12" x14ac:dyDescent="0.3">
      <c r="B26" s="337"/>
      <c r="C26" s="10"/>
      <c r="D26" s="10"/>
      <c r="E26" s="337"/>
      <c r="F26" s="10"/>
      <c r="G26" s="10"/>
      <c r="J26" s="75" t="s">
        <v>89</v>
      </c>
      <c r="K26" s="5">
        <f>K25+L27</f>
        <v>645285.77910000004</v>
      </c>
      <c r="L26" s="176">
        <f>VLOOKUP(K25,E29:G40,3,FALSE)</f>
        <v>2000001</v>
      </c>
    </row>
    <row r="27" spans="2:12" x14ac:dyDescent="0.3">
      <c r="B27" s="337"/>
      <c r="C27" s="10" t="s">
        <v>23</v>
      </c>
      <c r="D27" s="10" t="s">
        <v>24</v>
      </c>
      <c r="E27" s="337"/>
      <c r="F27" s="10" t="s">
        <v>25</v>
      </c>
      <c r="G27" s="10" t="s">
        <v>26</v>
      </c>
      <c r="J27" s="177"/>
      <c r="K27" s="178" t="s">
        <v>112</v>
      </c>
      <c r="L27" s="179">
        <f>(C9-L26)*L25</f>
        <v>241439.84910000002</v>
      </c>
    </row>
    <row r="28" spans="2:12" x14ac:dyDescent="0.3">
      <c r="B28" s="337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88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88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69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6" t="s">
        <v>22</v>
      </c>
      <c r="G44" s="187"/>
      <c r="J44" s="173" t="s">
        <v>86</v>
      </c>
      <c r="K44" s="174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5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5" t="s">
        <v>89</v>
      </c>
      <c r="K45" s="5">
        <f>K44+L46</f>
        <v>554246.71039999998</v>
      </c>
      <c r="L45" s="176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7"/>
      <c r="K46" s="178" t="s">
        <v>112</v>
      </c>
      <c r="L46" s="179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3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69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4"/>
      <c r="C60" s="170"/>
      <c r="D60" s="171"/>
      <c r="E60" s="170"/>
      <c r="F60" s="172"/>
      <c r="G60" s="170"/>
      <c r="L60" s="56"/>
    </row>
    <row r="61" spans="2:12" x14ac:dyDescent="0.3">
      <c r="K61" s="88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6" t="s">
        <v>22</v>
      </c>
      <c r="G63" s="187"/>
      <c r="J63" s="173" t="s">
        <v>86</v>
      </c>
      <c r="K63" s="174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5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5" t="s">
        <v>89</v>
      </c>
      <c r="K64" s="5">
        <f>K63+L65</f>
        <v>463207.63169999997</v>
      </c>
      <c r="L64" s="176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7"/>
      <c r="K65" s="178" t="s">
        <v>112</v>
      </c>
      <c r="L65" s="179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69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 Fees (2D-3D)</vt:lpstr>
      <vt:lpstr> Fees (2D)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2026-01-19T06:57:58Z</dcterms:modified>
</cp:coreProperties>
</file>