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36 - Brian Bowyer\"/>
    </mc:Choice>
  </mc:AlternateContent>
  <xr:revisionPtr revIDLastSave="0" documentId="13_ncr:1_{C3CE50E2-F580-4F86-B297-9DAC06E92AC5}" xr6:coauthVersionLast="47" xr6:coauthVersionMax="47" xr10:uidLastSave="{00000000-0000-0000-0000-000000000000}"/>
  <bookViews>
    <workbookView xWindow="-27330" yWindow="0" windowWidth="23910" windowHeight="14625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3" l="1"/>
  <c r="F21" i="3" s="1"/>
  <c r="E17" i="3"/>
  <c r="H44" i="3"/>
  <c r="F43" i="3"/>
  <c r="H43" i="3" s="1"/>
  <c r="G17" i="3"/>
  <c r="F19" i="3"/>
  <c r="H41" i="3"/>
  <c r="H47" i="3"/>
  <c r="H46" i="3" s="1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G22" i="3" l="1"/>
  <c r="G21" i="3" s="1"/>
  <c r="F15" i="3"/>
  <c r="J25" i="1"/>
  <c r="O37" i="1"/>
  <c r="J24" i="1" s="1"/>
  <c r="H70" i="3" l="1"/>
  <c r="G18" i="3"/>
  <c r="G19" i="3"/>
  <c r="G16" i="3"/>
  <c r="G30" i="3"/>
  <c r="G15" i="3" l="1"/>
  <c r="G74" i="3"/>
  <c r="C14" i="2" l="1"/>
  <c r="C15" i="2" s="1"/>
  <c r="H42" i="3"/>
  <c r="H40" i="3" s="1"/>
  <c r="K63" i="2"/>
  <c r="K43" i="3"/>
  <c r="M75" i="3"/>
  <c r="M74" i="3"/>
  <c r="M73" i="3"/>
  <c r="M72" i="3"/>
  <c r="M71" i="3"/>
  <c r="M70" i="3"/>
  <c r="M69" i="3"/>
  <c r="M68" i="3"/>
  <c r="L63" i="2" l="1"/>
  <c r="L64" i="2"/>
  <c r="H74" i="3"/>
  <c r="E76" i="3" s="1"/>
  <c r="M76" i="3"/>
  <c r="L65" i="2" l="1"/>
  <c r="K64" i="2" s="1"/>
  <c r="E81" i="3"/>
  <c r="E82" i="3" s="1"/>
  <c r="E5" i="2"/>
  <c r="E83" i="3" l="1"/>
  <c r="E85" i="3" s="1"/>
  <c r="K25" i="2"/>
  <c r="K44" i="2"/>
  <c r="F88" i="3" l="1"/>
  <c r="H88" i="3" s="1"/>
  <c r="F91" i="3"/>
  <c r="H91" i="3" s="1"/>
  <c r="F94" i="3"/>
  <c r="F92" i="3"/>
  <c r="F89" i="3"/>
  <c r="H89" i="3" s="1"/>
  <c r="F93" i="3"/>
  <c r="H93" i="3" s="1"/>
  <c r="F90" i="3"/>
  <c r="H90" i="3" s="1"/>
  <c r="L45" i="2"/>
  <c r="L44" i="2"/>
  <c r="L26" i="2"/>
  <c r="L25" i="2"/>
  <c r="C16" i="2"/>
  <c r="C18" i="2" s="1"/>
  <c r="H92" i="3" l="1"/>
  <c r="H51" i="3" s="1"/>
  <c r="H97" i="3"/>
  <c r="H94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27" i="3" l="1"/>
  <c r="H52" i="3"/>
  <c r="H50" i="3"/>
  <c r="H57" i="3" s="1"/>
  <c r="H96" i="3"/>
  <c r="H99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2" i="3" l="1"/>
  <c r="H22" i="3" s="1"/>
  <c r="H26" i="3" s="1"/>
  <c r="H17" i="3"/>
  <c r="E19" i="3"/>
  <c r="H19" i="3" s="1"/>
  <c r="E18" i="3"/>
  <c r="H18" i="3" s="1"/>
  <c r="E16" i="3"/>
  <c r="H16" i="3" s="1"/>
  <c r="F5" i="2"/>
  <c r="G5" i="2" s="1"/>
  <c r="H5" i="2" s="1"/>
  <c r="H21" i="3" l="1"/>
  <c r="H25" i="3"/>
  <c r="J25" i="3" s="1"/>
  <c r="H15" i="3"/>
  <c r="H31" i="3" l="1"/>
  <c r="H32" i="3" s="1"/>
  <c r="H33" i="3" s="1"/>
  <c r="H58" i="3"/>
  <c r="H59" i="3" s="1"/>
  <c r="M19" i="3" l="1"/>
  <c r="J31" i="3"/>
  <c r="K31" i="3" l="1"/>
  <c r="L31" i="3" s="1"/>
  <c r="L42" i="3"/>
  <c r="L41" i="3"/>
  <c r="L40" i="3"/>
  <c r="L43" i="3" l="1"/>
  <c r="N31" i="3"/>
  <c r="M31" i="3" s="1"/>
  <c r="M33" i="3" l="1"/>
  <c r="M35" i="3" s="1"/>
</calcChain>
</file>

<file path=xl/sharedStrings.xml><?xml version="1.0" encoding="utf-8"?>
<sst xmlns="http://schemas.openxmlformats.org/spreadsheetml/2006/main" count="274" uniqueCount="179">
  <si>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</si>
  <si>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</si>
  <si>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</si>
  <si>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</si>
  <si>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</si>
  <si>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</si>
  <si>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</si>
  <si>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</si>
  <si>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</si>
  <si>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</si>
  <si>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</si>
  <si>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</si>
  <si>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</si>
  <si>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</si>
  <si>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</si>
  <si>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</si>
  <si>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</si>
  <si>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</si>
  <si>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</si>
  <si>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</si>
  <si>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</si>
  <si>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</si>
  <si>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</si>
  <si>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</si>
  <si>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</si>
  <si>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</si>
  <si>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</si>
  <si>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</si>
  <si>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</si>
  <si>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</si>
  <si>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</si>
  <si>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</si>
  <si>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</si>
  <si>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</si>
  <si>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</si>
  <si>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</si>
  <si>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</si>
  <si>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</si>
  <si>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</si>
  <si>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</si>
  <si>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</si>
  <si>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</si>
  <si>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</si>
  <si>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</si>
  <si>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</si>
  <si>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</si>
  <si>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</si>
  <si>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</si>
  <si>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</si>
  <si>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</si>
  <si>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</si>
  <si>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</si>
  <si>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</si>
  <si>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</si>
  <si>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</si>
  <si>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</si>
  <si>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</si>
  <si>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</si>
  <si>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</si>
  <si>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</si>
  <si>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</si>
  <si>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</si>
  <si>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</si>
  <si>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</si>
  <si>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</si>
  <si>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</si>
  <si>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</si>
  <si>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</si>
  <si>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</si>
  <si>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</si>
  <si>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</si>
  <si>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</si>
  <si>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</si>
  <si>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</si>
  <si>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</si>
  <si>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</si>
  <si>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</si>
  <si>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</si>
  <si>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</si>
  <si>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</si>
  <si>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</si>
  <si>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</si>
  <si>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</si>
  <si>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</si>
  <si>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</si>
  <si>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</si>
  <si>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</si>
  <si>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</si>
  <si>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</si>
  <si>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</si>
  <si>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</si>
  <si>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</si>
  <si>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</si>
  <si>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</si>
  <si>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</si>
  <si>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</si>
  <si>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</si>
  <si>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</si>
  <si>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</si>
  <si>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</si>
  <si>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</si>
  <si>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</si>
  <si>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</si>
  <si>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</si>
  <si>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</si>
  <si>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</si>
  <si>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</si>
  <si>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</si>
  <si>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</si>
  <si>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</si>
  <si>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</si>
  <si>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</si>
  <si>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</si>
  <si>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</si>
  <si>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</si>
  <si>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</si>
  <si>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</si>
  <si>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</si>
  <si>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</si>
  <si>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</si>
  <si>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</si>
  <si>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</si>
  <si>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</si>
  <si>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</si>
  <si>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</si>
  <si>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</si>
  <si>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</si>
  <si>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</si>
  <si>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</si>
  <si>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</si>
  <si>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</si>
  <si>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</si>
  <si>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</si>
  <si>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</si>
  <si>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</si>
  <si>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</si>
  <si>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</si>
  <si>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</si>
  <si>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</si>
  <si>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</si>
  <si>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</si>
  <si>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</si>
  <si>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</si>
  <si>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</si>
  <si>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</si>
  <si>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</si>
  <si>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</si>
  <si>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</si>
  <si>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</si>
  <si>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</si>
  <si>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</si>
  <si>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</si>
  <si>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</si>
  <si>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</si>
  <si>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</si>
  <si>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</si>
  <si>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</si>
  <si>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</si>
  <si>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</si>
  <si>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</si>
  <si>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</si>
  <si>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</si>
  <si>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</si>
  <si>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</si>
  <si>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</si>
  <si>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</si>
  <si>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</si>
  <si>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Phase 2:</t>
  </si>
  <si>
    <t>Design Layout + 3D Design</t>
  </si>
  <si>
    <t>Measure &amp; Draw existing</t>
  </si>
  <si>
    <t>Municipal drawings</t>
  </si>
  <si>
    <t>Measure &amp; draw existing</t>
  </si>
  <si>
    <t>Construction drawings (on-going)</t>
  </si>
  <si>
    <t>Pricing drawings</t>
  </si>
  <si>
    <t>Project Management (4 Months)</t>
  </si>
  <si>
    <t>Pricing drawings (Costing)</t>
  </si>
  <si>
    <t>Phase 3: (as per SACAP)</t>
  </si>
  <si>
    <t>Hannes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</si>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</sst>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3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0" fontId="16" fillId="0" borderId="4" xfId="0" applyFont="1" applyBorder="1"/>
    <xf numFmtId="44" fontId="4" fillId="0" borderId="4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1"/>
      <c r="B1" s="281"/>
      <c r="C1" s="281"/>
      <c r="D1" s="281"/>
      <c r="E1" s="281"/>
      <c r="F1" s="281"/>
      <c r="G1" s="281"/>
      <c r="H1" s="281"/>
      <c r="I1" s="281"/>
      <c r="J1" s="281"/>
    </row>
    <row r="2" spans="1:11" x14ac:dyDescent="0.3">
      <c r="A2" s="281"/>
      <c r="B2" s="281"/>
      <c r="C2" s="281"/>
      <c r="D2" s="281"/>
      <c r="E2" s="281"/>
      <c r="F2" s="281"/>
      <c r="G2" s="281"/>
      <c r="H2" s="281"/>
      <c r="I2" s="281"/>
      <c r="J2" s="281"/>
    </row>
    <row r="3" spans="1:11" x14ac:dyDescent="0.3">
      <c r="A3" s="281"/>
      <c r="B3" s="281"/>
      <c r="C3" s="281"/>
      <c r="D3" s="281"/>
      <c r="E3" s="281"/>
      <c r="F3" s="281"/>
      <c r="G3" s="281"/>
      <c r="H3" s="281"/>
      <c r="I3" s="281"/>
      <c r="J3" s="281"/>
    </row>
    <row r="4" spans="1:11" x14ac:dyDescent="0.3">
      <c r="A4" s="281"/>
      <c r="B4" s="281"/>
      <c r="C4" s="281"/>
      <c r="D4" s="281"/>
      <c r="E4" s="281"/>
      <c r="F4" s="281"/>
      <c r="G4" s="281"/>
      <c r="H4" s="281"/>
      <c r="I4" s="281"/>
      <c r="J4" s="281"/>
    </row>
    <row r="5" spans="1:11" x14ac:dyDescent="0.3">
      <c r="A5" s="281"/>
      <c r="B5" s="281"/>
      <c r="C5" s="281"/>
      <c r="D5" s="281"/>
      <c r="E5" s="281"/>
      <c r="F5" s="281"/>
      <c r="G5" s="281"/>
      <c r="H5" s="281"/>
      <c r="I5" s="281"/>
      <c r="J5" s="281"/>
    </row>
    <row r="6" spans="1:11" x14ac:dyDescent="0.3">
      <c r="A6" s="281"/>
      <c r="B6" s="281"/>
      <c r="C6" s="281"/>
      <c r="D6" s="281"/>
      <c r="E6" s="281"/>
      <c r="F6" s="281"/>
      <c r="G6" s="281"/>
      <c r="H6" s="281"/>
      <c r="I6" s="281"/>
      <c r="J6" s="281"/>
    </row>
    <row r="7" spans="1:11" x14ac:dyDescent="0.3">
      <c r="A7" s="281"/>
      <c r="B7" s="281"/>
      <c r="C7" s="281"/>
      <c r="D7" s="281"/>
      <c r="E7" s="281"/>
      <c r="F7" s="281"/>
      <c r="G7" s="281"/>
      <c r="H7" s="281"/>
      <c r="I7" s="281"/>
      <c r="J7" s="281"/>
    </row>
    <row r="8" spans="1:11" x14ac:dyDescent="0.3">
      <c r="A8" s="281"/>
      <c r="B8" s="281"/>
      <c r="C8" s="281"/>
      <c r="D8" s="281"/>
      <c r="E8" s="281"/>
      <c r="F8" s="281"/>
      <c r="G8" s="281"/>
      <c r="H8" s="281"/>
      <c r="I8" s="281"/>
      <c r="J8" s="281"/>
    </row>
    <row r="9" spans="1:11" x14ac:dyDescent="0.3">
      <c r="A9" s="281"/>
      <c r="B9" s="281"/>
      <c r="C9" s="281"/>
      <c r="D9" s="281"/>
      <c r="E9" s="281"/>
      <c r="F9" s="281"/>
      <c r="G9" s="281"/>
      <c r="H9" s="281"/>
      <c r="I9" s="281"/>
      <c r="J9" s="281"/>
    </row>
    <row r="10" spans="1:11" x14ac:dyDescent="0.3">
      <c r="A10" s="281"/>
      <c r="B10" s="281"/>
      <c r="C10" s="281"/>
      <c r="D10" s="281"/>
      <c r="E10" s="281"/>
      <c r="F10" s="281"/>
      <c r="G10" s="281"/>
      <c r="H10" s="281"/>
      <c r="I10" s="281"/>
      <c r="J10" s="281"/>
    </row>
    <row r="11" spans="1:11" ht="21" thickBot="1" x14ac:dyDescent="0.35">
      <c r="A11" s="279" t="s">
        <v>5</v>
      </c>
      <c r="B11" s="280"/>
      <c r="C11" s="280"/>
      <c r="D11" s="280"/>
      <c r="E11" s="280"/>
      <c r="F11" s="280"/>
      <c r="G11" s="280"/>
      <c r="H11" s="280"/>
      <c r="I11" s="280"/>
      <c r="J11" s="280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284" t="s">
        <v>9</v>
      </c>
      <c r="F12" s="288"/>
      <c r="G12" s="285"/>
      <c r="H12" s="284" t="s">
        <v>4</v>
      </c>
      <c r="I12" s="285"/>
      <c r="J12" s="222" t="s">
        <v>130</v>
      </c>
    </row>
    <row r="13" spans="1:11" x14ac:dyDescent="0.3">
      <c r="A13" s="218">
        <v>1</v>
      </c>
      <c r="B13" s="228" t="s">
        <v>131</v>
      </c>
      <c r="C13" s="111" t="s">
        <v>2</v>
      </c>
      <c r="D13" s="220">
        <v>40000</v>
      </c>
      <c r="E13" s="286">
        <v>0.1</v>
      </c>
      <c r="F13" s="286"/>
      <c r="G13" s="220">
        <f>D13*E13</f>
        <v>4000</v>
      </c>
      <c r="H13" s="283">
        <f>D13+G13</f>
        <v>44000</v>
      </c>
      <c r="I13" s="283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287">
        <v>0.1</v>
      </c>
      <c r="F14" s="287"/>
      <c r="G14" s="220">
        <f>D14*E14</f>
        <v>2400</v>
      </c>
      <c r="H14" s="282">
        <f>D14+G14</f>
        <v>26400</v>
      </c>
      <c r="I14" s="282"/>
      <c r="J14" s="111">
        <v>1</v>
      </c>
    </row>
    <row r="15" spans="1:11" x14ac:dyDescent="0.3">
      <c r="A15" s="218"/>
      <c r="B15" s="111"/>
      <c r="C15" s="111"/>
      <c r="D15" s="219"/>
      <c r="E15" s="275"/>
      <c r="F15" s="275"/>
      <c r="G15" s="220"/>
      <c r="H15" s="282"/>
      <c r="I15" s="282"/>
      <c r="J15" s="111"/>
    </row>
    <row r="16" spans="1:11" x14ac:dyDescent="0.3">
      <c r="A16" s="4"/>
      <c r="E16" s="276"/>
      <c r="F16" s="276"/>
      <c r="H16" s="276"/>
      <c r="I16" s="276"/>
      <c r="K16"/>
    </row>
    <row r="17" spans="1:15" ht="21" thickBot="1" x14ac:dyDescent="0.35">
      <c r="A17" s="289" t="s">
        <v>6</v>
      </c>
      <c r="B17" s="289"/>
      <c r="C17" s="289"/>
      <c r="D17" s="289"/>
      <c r="E17" s="289"/>
      <c r="F17" s="289"/>
      <c r="G17" s="289"/>
      <c r="H17" s="289"/>
      <c r="I17" s="289"/>
      <c r="J17" s="289"/>
      <c r="K17"/>
    </row>
    <row r="18" spans="1:15" ht="18" thickBot="1" x14ac:dyDescent="0.35">
      <c r="A18" s="221" t="s">
        <v>88</v>
      </c>
      <c r="B18" s="225" t="s">
        <v>7</v>
      </c>
      <c r="C18" s="290" t="s">
        <v>10</v>
      </c>
      <c r="D18" s="291"/>
      <c r="E18" s="277" t="s">
        <v>8</v>
      </c>
      <c r="F18" s="278"/>
      <c r="G18" s="293" t="s">
        <v>11</v>
      </c>
      <c r="H18" s="294"/>
      <c r="I18" s="294"/>
      <c r="J18" s="294"/>
      <c r="K18"/>
    </row>
    <row r="19" spans="1:15" x14ac:dyDescent="0.3">
      <c r="A19" s="218">
        <v>1</v>
      </c>
      <c r="B19" s="227">
        <v>21</v>
      </c>
      <c r="C19" s="292">
        <f>D45</f>
        <v>6240.323166666667</v>
      </c>
      <c r="D19" s="292"/>
      <c r="E19" s="297">
        <v>8</v>
      </c>
      <c r="F19" s="297"/>
      <c r="G19" s="295">
        <f>ROUNDUP(C19/E19,-0.1)</f>
        <v>781</v>
      </c>
      <c r="H19" s="295"/>
      <c r="I19" s="295"/>
      <c r="J19" s="295"/>
      <c r="K19" s="111"/>
    </row>
    <row r="20" spans="1:15" x14ac:dyDescent="0.3">
      <c r="A20" s="218">
        <v>2</v>
      </c>
      <c r="B20" s="227">
        <v>21</v>
      </c>
      <c r="C20" s="275">
        <f ca="1">J45</f>
        <v>5167.8</v>
      </c>
      <c r="D20" s="275"/>
      <c r="E20" s="298">
        <v>8</v>
      </c>
      <c r="F20" s="298"/>
      <c r="G20" s="296">
        <f ca="1">ROUNDUP(C20/E20,-1)</f>
        <v>650</v>
      </c>
      <c r="H20" s="296"/>
      <c r="I20" s="296"/>
      <c r="J20" s="296"/>
      <c r="K20" s="111"/>
    </row>
    <row r="21" spans="1:15" x14ac:dyDescent="0.3">
      <c r="A21" s="4"/>
      <c r="E21" s="276"/>
      <c r="F21" s="276"/>
      <c r="K21"/>
    </row>
    <row r="22" spans="1:15" ht="21" thickBot="1" x14ac:dyDescent="0.35">
      <c r="A22" s="279" t="s">
        <v>132</v>
      </c>
      <c r="B22" s="280"/>
      <c r="C22" s="280"/>
      <c r="D22" s="280"/>
      <c r="E22" s="280"/>
      <c r="F22" s="280"/>
      <c r="G22" s="280"/>
      <c r="H22" s="280"/>
      <c r="I22" s="280"/>
      <c r="J22" s="280"/>
      <c r="K22"/>
    </row>
    <row r="23" spans="1:15" ht="18" thickBot="1" x14ac:dyDescent="0.35">
      <c r="A23" s="221"/>
      <c r="B23" s="240" t="s">
        <v>133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134</v>
      </c>
      <c r="C24" s="14"/>
      <c r="D24" s="248">
        <v>9510</v>
      </c>
      <c r="E24" s="249"/>
      <c r="F24" s="241">
        <v>1</v>
      </c>
      <c r="G24" s="1" t="s">
        <v>162</v>
      </c>
      <c r="I24" s="258">
        <v>1</v>
      </c>
      <c r="J24" s="250">
        <f ca="1">SUMIF($L$33:$O$42,G24,$O$33:$O$42)*$I$24</f>
        <v>750</v>
      </c>
      <c r="L24" s="1" t="s">
        <v>151</v>
      </c>
    </row>
    <row r="25" spans="1:15" x14ac:dyDescent="0.3">
      <c r="A25" s="4">
        <v>2</v>
      </c>
      <c r="B25" s="1" t="s">
        <v>135</v>
      </c>
      <c r="D25" s="212">
        <v>1000</v>
      </c>
      <c r="E25" s="250"/>
      <c r="F25" s="241">
        <v>2</v>
      </c>
      <c r="G25" s="1" t="s">
        <v>163</v>
      </c>
      <c r="I25" s="258">
        <v>1</v>
      </c>
      <c r="J25" s="250">
        <f ca="1">SUMIF($L$33:$O$43,G25,$O$33:$O$43)*$I$25</f>
        <v>350</v>
      </c>
      <c r="L25" s="230" t="s">
        <v>152</v>
      </c>
      <c r="M25" s="245" t="s">
        <v>153</v>
      </c>
      <c r="N25" s="231" t="s">
        <v>4</v>
      </c>
      <c r="O25" s="246" t="s">
        <v>154</v>
      </c>
    </row>
    <row r="26" spans="1:15" x14ac:dyDescent="0.3">
      <c r="A26" s="4">
        <v>3</v>
      </c>
      <c r="B26" s="1" t="s">
        <v>137</v>
      </c>
      <c r="D26" s="212">
        <v>3830</v>
      </c>
      <c r="E26" s="250"/>
      <c r="F26" s="241">
        <v>3</v>
      </c>
      <c r="G26" s="1" t="s">
        <v>134</v>
      </c>
      <c r="I26" s="258">
        <v>0.3</v>
      </c>
      <c r="J26" s="250">
        <f ca="1">SUMIF($B$24:$D$36,G26,$D$24:$D$36)*I26</f>
        <v>2853</v>
      </c>
      <c r="L26" s="173" t="s">
        <v>159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138</v>
      </c>
      <c r="D27" s="212">
        <v>600</v>
      </c>
      <c r="E27" s="250"/>
      <c r="F27" s="241">
        <v>4</v>
      </c>
      <c r="G27" s="1" t="s">
        <v>135</v>
      </c>
      <c r="I27" s="258">
        <v>0.3</v>
      </c>
      <c r="J27" s="250">
        <f ca="1">SUMIF($B$24:$D$36,G27,$D$24:$D$36)*I27</f>
        <v>300</v>
      </c>
      <c r="L27" s="75" t="s">
        <v>155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139</v>
      </c>
      <c r="D28" s="212">
        <v>770</v>
      </c>
      <c r="E28" s="250"/>
      <c r="F28" s="241">
        <v>5</v>
      </c>
      <c r="G28" s="1" t="s">
        <v>138</v>
      </c>
      <c r="I28" s="258">
        <v>0.3</v>
      </c>
      <c r="J28" s="250">
        <f ca="1">SUMIF($B$24:$D$36,G28,$D$24:$D$36)*I28</f>
        <v>180</v>
      </c>
      <c r="L28" s="75" t="s">
        <v>156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140</v>
      </c>
      <c r="D29" s="212">
        <f>700*4*2</f>
        <v>5600</v>
      </c>
      <c r="E29" s="250"/>
      <c r="F29" s="241">
        <v>6</v>
      </c>
      <c r="G29" s="1" t="s">
        <v>139</v>
      </c>
      <c r="I29" s="258">
        <v>0.3</v>
      </c>
      <c r="J29" s="250">
        <f ca="1">SUMIF($B$24:$D$36,G29,$D$24:$D$36)*I29</f>
        <v>231</v>
      </c>
      <c r="L29" s="177" t="s">
        <v>157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141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142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143</v>
      </c>
      <c r="D32" s="212">
        <f>O43*2</f>
        <v>700</v>
      </c>
      <c r="E32" s="250"/>
      <c r="J32" s="176"/>
      <c r="L32" s="1" t="s">
        <v>158</v>
      </c>
    </row>
    <row r="33" spans="1:15" x14ac:dyDescent="0.3">
      <c r="A33" s="4">
        <v>10</v>
      </c>
      <c r="B33" s="1" t="s">
        <v>144</v>
      </c>
      <c r="D33" s="212">
        <f>10000/12</f>
        <v>833.33333333333337</v>
      </c>
      <c r="E33" s="250"/>
      <c r="J33" s="176"/>
      <c r="L33" s="173" t="s">
        <v>159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145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146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136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162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164</v>
      </c>
      <c r="D38" s="212">
        <f>SUM(D24:D36)</f>
        <v>30343.333333333332</v>
      </c>
      <c r="E38" s="212"/>
      <c r="G38" s="69" t="s">
        <v>164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147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147</v>
      </c>
      <c r="H39" s="237"/>
      <c r="I39" s="259">
        <v>15.5</v>
      </c>
      <c r="J39" s="260">
        <f ca="1">SUM(J38)*(1+I39)</f>
        <v>76956</v>
      </c>
      <c r="L39" s="1" t="s">
        <v>161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143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148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160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165</v>
      </c>
      <c r="C43" s="6"/>
      <c r="D43" s="253">
        <f>D39+D41</f>
        <v>124806.46333333333</v>
      </c>
      <c r="E43" s="254"/>
      <c r="F43" s="212"/>
      <c r="G43" s="232" t="s">
        <v>165</v>
      </c>
      <c r="H43" s="6"/>
      <c r="I43" s="6"/>
      <c r="J43" s="253">
        <f ca="1">J39+J41</f>
        <v>103356</v>
      </c>
      <c r="L43" s="230" t="s">
        <v>163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149</v>
      </c>
      <c r="C45" s="6"/>
      <c r="D45" s="255">
        <f>D43/4/5</f>
        <v>6240.323166666667</v>
      </c>
      <c r="E45" s="212"/>
      <c r="F45" s="93"/>
      <c r="G45" s="233" t="s">
        <v>149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150</v>
      </c>
      <c r="C46" s="238"/>
      <c r="D46" s="256">
        <f>D45/8</f>
        <v>780.04039583333338</v>
      </c>
      <c r="E46" s="212"/>
      <c r="G46" s="87" t="s">
        <v>150</v>
      </c>
      <c r="H46" s="6"/>
      <c r="I46" s="6"/>
      <c r="J46" s="255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30"/>
  <sheetViews>
    <sheetView tabSelected="1" topLeftCell="A3" zoomScaleNormal="100" workbookViewId="0">
      <selection activeCell="G18" sqref="G17:G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19" t="s">
        <v>12</v>
      </c>
      <c r="B11" s="320"/>
      <c r="C11" s="320"/>
      <c r="D11" s="320"/>
      <c r="E11" s="320"/>
      <c r="F11" s="320"/>
      <c r="G11" s="320"/>
      <c r="H11" s="321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22" t="s">
        <v>63</v>
      </c>
      <c r="B13" s="323"/>
      <c r="C13" s="324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25" t="s">
        <v>59</v>
      </c>
      <c r="B14" s="326"/>
      <c r="C14" s="326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99" t="s">
        <v>76</v>
      </c>
      <c r="B15" s="300"/>
      <c r="C15" s="71"/>
      <c r="D15" s="71"/>
      <c r="E15" s="71"/>
      <c r="F15" s="74">
        <f>SUM(F16:F19)</f>
        <v>76</v>
      </c>
      <c r="G15" s="215">
        <f>SUM(G16:G19)</f>
        <v>9.5</v>
      </c>
      <c r="H15" s="184">
        <f ca="1">SUM(H16:H19)</f>
        <v>53592</v>
      </c>
      <c r="I15" s="1"/>
      <c r="J15" s="312" t="s">
        <v>71</v>
      </c>
      <c r="K15" s="313"/>
      <c r="L15" s="314"/>
      <c r="M15" s="150">
        <f>G15</f>
        <v>9.5</v>
      </c>
    </row>
    <row r="16" spans="1:13" ht="17.25" x14ac:dyDescent="0.3">
      <c r="A16" s="180" t="s">
        <v>171</v>
      </c>
      <c r="B16" s="318"/>
      <c r="C16" s="318"/>
      <c r="D16" s="60" t="s">
        <v>166</v>
      </c>
      <c r="E16" s="60">
        <f ca="1">IF(D16="Dewald", Employees!$G$19,IF(D16="Hannes",Employees!$G$19,IF(D16="Johan",Employees!$G$20,"")))</f>
        <v>650</v>
      </c>
      <c r="F16" s="3">
        <v>0</v>
      </c>
      <c r="G16" s="181">
        <f t="shared" ref="G16" si="0">IF(F16="","",F16/8)</f>
        <v>0</v>
      </c>
      <c r="H16" s="182">
        <f t="shared" ref="H16" ca="1" si="1">IF(E16="","",F16*E16)</f>
        <v>0</v>
      </c>
      <c r="I16" s="1"/>
      <c r="M16" s="3"/>
    </row>
    <row r="17" spans="1:14" ht="17.25" x14ac:dyDescent="0.3">
      <c r="A17" s="267" t="s">
        <v>168</v>
      </c>
      <c r="B17" s="1"/>
      <c r="C17" s="1"/>
      <c r="D17" s="60" t="s">
        <v>177</v>
      </c>
      <c r="E17" s="60">
        <f>IF(D17="Dewald", Employees!$G$19,IF(D17="Hannes",Employees!$G$19,IF(D17="Johan",Employees!$G$20,"")))</f>
        <v>781</v>
      </c>
      <c r="F17" s="3">
        <v>32</v>
      </c>
      <c r="G17" s="181">
        <f>IF(F17="","",F17/8)</f>
        <v>4</v>
      </c>
      <c r="H17" s="182">
        <f>IF(E17="","",F17*E17)</f>
        <v>24992</v>
      </c>
      <c r="I17" s="1"/>
      <c r="M17" s="3"/>
    </row>
    <row r="18" spans="1:14" ht="18" thickBot="1" x14ac:dyDescent="0.35">
      <c r="A18" s="267" t="s">
        <v>170</v>
      </c>
      <c r="B18" s="1"/>
      <c r="C18" s="1"/>
      <c r="D18" s="60" t="s">
        <v>166</v>
      </c>
      <c r="E18" s="60">
        <f ca="1">IF(D18="Dewald", Employees!$G$19,IF(D18="Hannes",Employees!$G$19,IF(D18="Johan",Employees!$G$20,"")))</f>
        <v>650</v>
      </c>
      <c r="F18" s="3">
        <v>40</v>
      </c>
      <c r="G18" s="181">
        <f>IF(F18="","",F18/8)</f>
        <v>5</v>
      </c>
      <c r="H18" s="182">
        <f ca="1">IF(E18="","",F18*E18)</f>
        <v>26000</v>
      </c>
      <c r="I18" s="1"/>
      <c r="M18" s="3"/>
    </row>
    <row r="19" spans="1:14" ht="18" thickBot="1" x14ac:dyDescent="0.35">
      <c r="A19" s="180" t="s">
        <v>77</v>
      </c>
      <c r="D19" s="60" t="s">
        <v>166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15" t="s">
        <v>74</v>
      </c>
      <c r="K19" s="316"/>
      <c r="L19" s="317"/>
      <c r="M19" s="103">
        <f ca="1">H33/M15</f>
        <v>5641.2631578947367</v>
      </c>
    </row>
    <row r="20" spans="1:14" ht="18" thickBot="1" x14ac:dyDescent="0.35">
      <c r="I20" s="1"/>
      <c r="M20" s="94"/>
    </row>
    <row r="21" spans="1:14" ht="18" thickBot="1" x14ac:dyDescent="0.35">
      <c r="A21" s="299" t="s">
        <v>167</v>
      </c>
      <c r="B21" s="300"/>
      <c r="C21" s="71"/>
      <c r="D21" s="71"/>
      <c r="E21" s="71"/>
      <c r="F21" s="74">
        <f>SUM(F22:F23)</f>
        <v>24</v>
      </c>
      <c r="G21" s="215">
        <f>SUM(G22:G23)</f>
        <v>3</v>
      </c>
      <c r="H21" s="184">
        <f ca="1">SUM(H22:H23)</f>
        <v>15600</v>
      </c>
      <c r="I21" s="1"/>
      <c r="M21" s="94"/>
    </row>
    <row r="22" spans="1:14" ht="17.25" x14ac:dyDescent="0.3">
      <c r="A22" s="266" t="s">
        <v>175</v>
      </c>
      <c r="B22" s="1"/>
      <c r="C22" s="1"/>
      <c r="D22" s="60" t="s">
        <v>166</v>
      </c>
      <c r="E22" s="60">
        <f ca="1">IF(D22="Dewald", Employees!$G$19,IF(D22="Hannes",Employees!$G$19,IF(D22="Johan",Employees!$G$20,"")))</f>
        <v>650</v>
      </c>
      <c r="F22" s="3">
        <f>3*8</f>
        <v>24</v>
      </c>
      <c r="G22" s="181">
        <f>IF(F22="","",F22/8)</f>
        <v>3</v>
      </c>
      <c r="H22" s="182">
        <f ca="1">IF(E22="","",F22*E22)</f>
        <v>15600</v>
      </c>
      <c r="I22" s="1"/>
      <c r="M22" s="94"/>
    </row>
    <row r="23" spans="1:14" ht="17.25" x14ac:dyDescent="0.3">
      <c r="A23" s="267"/>
      <c r="B23" s="1"/>
      <c r="C23" s="1"/>
      <c r="D23" s="60"/>
      <c r="E23" s="60"/>
      <c r="F23" s="3"/>
      <c r="G23" s="181"/>
      <c r="H23" s="182"/>
      <c r="I23" s="1"/>
      <c r="M23" s="94"/>
    </row>
    <row r="24" spans="1:14" ht="18" thickBot="1" x14ac:dyDescent="0.35">
      <c r="I24" s="1"/>
      <c r="M24" s="94"/>
    </row>
    <row r="25" spans="1:14" ht="18" thickBot="1" x14ac:dyDescent="0.35">
      <c r="A25" s="299" t="s">
        <v>176</v>
      </c>
      <c r="B25" s="300"/>
      <c r="C25" s="71"/>
      <c r="D25" s="71"/>
      <c r="E25" s="71"/>
      <c r="F25" s="74"/>
      <c r="G25" s="215"/>
      <c r="H25" s="184">
        <f ca="1">SUM(H26:H27)</f>
        <v>-15600</v>
      </c>
      <c r="I25" s="1"/>
      <c r="J25" s="157">
        <f ca="1">H25/4</f>
        <v>-3900</v>
      </c>
      <c r="M25" s="94"/>
    </row>
    <row r="26" spans="1:14" ht="17.25" x14ac:dyDescent="0.3">
      <c r="A26" s="266" t="s">
        <v>172</v>
      </c>
      <c r="B26" s="1"/>
      <c r="C26" s="1"/>
      <c r="D26" s="60"/>
      <c r="E26" s="60"/>
      <c r="F26" s="3"/>
      <c r="G26" s="181"/>
      <c r="H26" s="273">
        <f ca="1">H92-H22</f>
        <v>-15600</v>
      </c>
      <c r="I26" s="1"/>
      <c r="J26" s="157"/>
      <c r="M26" s="94"/>
    </row>
    <row r="27" spans="1:14" ht="17.25" x14ac:dyDescent="0.3">
      <c r="A27" s="180" t="s">
        <v>174</v>
      </c>
      <c r="B27" s="1"/>
      <c r="C27" s="1"/>
      <c r="D27" s="60"/>
      <c r="E27" s="60"/>
      <c r="F27" s="3"/>
      <c r="G27" s="181"/>
      <c r="H27" s="274">
        <f>$H$94+$H$93</f>
        <v>0</v>
      </c>
      <c r="I27" s="1"/>
      <c r="M27" s="94"/>
    </row>
    <row r="28" spans="1:14" ht="17.25" x14ac:dyDescent="0.3">
      <c r="I28" s="1"/>
      <c r="M28" s="94"/>
    </row>
    <row r="29" spans="1:14" ht="18" thickBot="1" x14ac:dyDescent="0.35">
      <c r="I29" s="1"/>
    </row>
    <row r="30" spans="1:14" ht="18" thickBot="1" x14ac:dyDescent="0.35">
      <c r="G30" s="181" t="str">
        <f t="shared" ref="G30" si="2">IF(F30="","",F30/8)</f>
        <v/>
      </c>
      <c r="H30" s="157"/>
      <c r="I30" s="1"/>
      <c r="J30" s="98" t="s">
        <v>89</v>
      </c>
      <c r="K30" s="100" t="s">
        <v>83</v>
      </c>
      <c r="L30" s="101" t="s">
        <v>78</v>
      </c>
      <c r="M30" s="102" t="s">
        <v>81</v>
      </c>
      <c r="N30" s="99" t="s">
        <v>79</v>
      </c>
    </row>
    <row r="31" spans="1:14" ht="18" x14ac:dyDescent="0.3">
      <c r="A31" s="73"/>
      <c r="B31" s="73"/>
      <c r="D31" s="89"/>
      <c r="E31" s="262"/>
      <c r="F31" s="263" t="s">
        <v>113</v>
      </c>
      <c r="G31" s="264"/>
      <c r="H31" s="265">
        <f ca="1">H21+H15+H25</f>
        <v>53592</v>
      </c>
      <c r="I31" s="1"/>
      <c r="J31" s="104">
        <f ca="1">H33</f>
        <v>53592</v>
      </c>
      <c r="K31" s="60">
        <f ca="1">J31*0.05</f>
        <v>2679.6000000000004</v>
      </c>
      <c r="L31" s="60">
        <f ca="1">J31-K31</f>
        <v>50912.4</v>
      </c>
      <c r="M31" s="104">
        <f ca="1">L31-N31</f>
        <v>29698.9</v>
      </c>
      <c r="N31" s="106">
        <f ca="1">L31/2.4</f>
        <v>21213.5</v>
      </c>
    </row>
    <row r="32" spans="1:14" ht="18.75" thickBot="1" x14ac:dyDescent="0.35">
      <c r="A32" s="73"/>
      <c r="B32" s="73"/>
      <c r="C32" s="73"/>
      <c r="F32" s="269" t="s">
        <v>75</v>
      </c>
      <c r="G32" s="268">
        <v>0</v>
      </c>
      <c r="H32" s="247">
        <f ca="1">H31*G32</f>
        <v>0</v>
      </c>
      <c r="I32" s="1"/>
      <c r="M32" s="94"/>
    </row>
    <row r="33" spans="1:13" ht="19.5" thickBot="1" x14ac:dyDescent="0.35">
      <c r="A33" s="1"/>
      <c r="B33" s="1"/>
      <c r="C33" s="1"/>
      <c r="D33" s="1"/>
      <c r="F33" s="132" t="s">
        <v>67</v>
      </c>
      <c r="G33" s="133"/>
      <c r="H33" s="183">
        <f ca="1">(H31-H32)</f>
        <v>53592</v>
      </c>
      <c r="I33" s="1"/>
      <c r="J33" s="97" t="s">
        <v>80</v>
      </c>
      <c r="K33" s="92"/>
      <c r="L33" s="92"/>
      <c r="M33" s="105">
        <f ca="1">M31*0.15</f>
        <v>4454.835</v>
      </c>
    </row>
    <row r="34" spans="1:13" ht="18" thickBot="1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13" ht="18" thickBot="1" x14ac:dyDescent="0.35">
      <c r="A35" s="76"/>
      <c r="B35" s="76"/>
      <c r="C35" s="76"/>
      <c r="D35" s="76"/>
      <c r="E35" s="76"/>
      <c r="F35" s="76"/>
      <c r="G35" s="76"/>
      <c r="H35" s="76"/>
      <c r="I35" s="1"/>
      <c r="J35" s="96" t="s">
        <v>82</v>
      </c>
      <c r="K35" s="92"/>
      <c r="L35" s="92"/>
      <c r="M35" s="105">
        <f ca="1">M31-M33</f>
        <v>25244.065000000002</v>
      </c>
    </row>
    <row r="36" spans="1:13" ht="18" thickBot="1" x14ac:dyDescent="0.35">
      <c r="H36" s="157"/>
      <c r="I36" s="1"/>
    </row>
    <row r="37" spans="1:13" ht="19.5" thickBot="1" x14ac:dyDescent="0.35">
      <c r="A37" s="191" t="s">
        <v>69</v>
      </c>
      <c r="B37" s="145"/>
      <c r="C37" s="146"/>
      <c r="D37" s="1"/>
      <c r="E37" s="3"/>
      <c r="F37" s="1"/>
      <c r="G37" s="1"/>
      <c r="H37" s="1"/>
      <c r="I37" s="1"/>
      <c r="J37" s="1"/>
      <c r="K37" s="91"/>
      <c r="M37" s="94"/>
    </row>
    <row r="38" spans="1:13" ht="18" thickBot="1" x14ac:dyDescent="0.35">
      <c r="A38" s="128" t="s">
        <v>59</v>
      </c>
      <c r="B38" s="119"/>
      <c r="C38" s="119"/>
      <c r="D38" s="119"/>
      <c r="E38" s="119"/>
      <c r="F38" s="119"/>
      <c r="G38" s="196"/>
      <c r="H38" s="120"/>
    </row>
    <row r="39" spans="1:13" ht="18" thickBot="1" x14ac:dyDescent="0.35">
      <c r="I39" s="1"/>
      <c r="J39" s="159" t="s">
        <v>108</v>
      </c>
      <c r="K39" s="159" t="s">
        <v>109</v>
      </c>
      <c r="L39" s="159" t="s">
        <v>110</v>
      </c>
      <c r="M39" s="60"/>
    </row>
    <row r="40" spans="1:13" ht="18" thickBot="1" x14ac:dyDescent="0.35">
      <c r="A40" s="147" t="s">
        <v>76</v>
      </c>
      <c r="B40" s="148"/>
      <c r="C40" s="71"/>
      <c r="D40" s="119" t="s">
        <v>61</v>
      </c>
      <c r="E40" s="119" t="s">
        <v>68</v>
      </c>
      <c r="F40" s="119" t="s">
        <v>70</v>
      </c>
      <c r="G40" s="195"/>
      <c r="H40" s="270">
        <f>SUM(H41:H44)</f>
        <v>65090</v>
      </c>
      <c r="I40" s="1"/>
      <c r="J40" s="160" t="s">
        <v>105</v>
      </c>
      <c r="K40" s="161">
        <v>0.6</v>
      </c>
      <c r="L40" s="162">
        <f ca="1">J31*K40</f>
        <v>32155.199999999997</v>
      </c>
    </row>
    <row r="41" spans="1:13" ht="17.25" x14ac:dyDescent="0.3">
      <c r="A41" s="199" t="s">
        <v>169</v>
      </c>
      <c r="B41" s="90"/>
      <c r="C41" s="90"/>
      <c r="D41" s="149" t="s">
        <v>73</v>
      </c>
      <c r="E41" s="81">
        <v>50</v>
      </c>
      <c r="F41" s="14">
        <v>240</v>
      </c>
      <c r="G41" s="90"/>
      <c r="H41" s="273">
        <f>F41*E41</f>
        <v>12000</v>
      </c>
      <c r="I41" s="1"/>
      <c r="J41" s="160" t="s">
        <v>106</v>
      </c>
      <c r="K41" s="161">
        <v>0.32</v>
      </c>
      <c r="L41" s="162">
        <f ca="1">J31*K41</f>
        <v>17149.439999999999</v>
      </c>
    </row>
    <row r="42" spans="1:13" ht="18" thickBot="1" x14ac:dyDescent="0.35">
      <c r="A42" s="180" t="s">
        <v>168</v>
      </c>
      <c r="B42" s="180"/>
      <c r="C42" s="1"/>
      <c r="D42" s="60" t="s">
        <v>73</v>
      </c>
      <c r="E42" s="5">
        <v>120</v>
      </c>
      <c r="F42" s="1">
        <v>187</v>
      </c>
      <c r="G42" s="70"/>
      <c r="H42" s="182">
        <f>F42*E42</f>
        <v>22440</v>
      </c>
      <c r="J42" s="163" t="s">
        <v>107</v>
      </c>
      <c r="K42" s="164">
        <v>0.08</v>
      </c>
      <c r="L42" s="165">
        <f ca="1">J31*K42</f>
        <v>4287.3599999999997</v>
      </c>
      <c r="M42" s="1"/>
    </row>
    <row r="43" spans="1:13" ht="18" thickBot="1" x14ac:dyDescent="0.35">
      <c r="A43" s="180" t="s">
        <v>170</v>
      </c>
      <c r="D43" s="60" t="s">
        <v>73</v>
      </c>
      <c r="E43" s="5">
        <v>150</v>
      </c>
      <c r="F43" s="1">
        <f>F42</f>
        <v>187</v>
      </c>
      <c r="H43" s="182">
        <f>F43*E43</f>
        <v>28050</v>
      </c>
      <c r="J43" s="166" t="s">
        <v>3</v>
      </c>
      <c r="K43" s="167">
        <f>SUM(K40:K42)</f>
        <v>0.99999999999999989</v>
      </c>
      <c r="L43" s="158">
        <f ca="1">SUM(L40:L42)</f>
        <v>53592</v>
      </c>
      <c r="M43" s="1"/>
    </row>
    <row r="44" spans="1:13" ht="17.25" x14ac:dyDescent="0.3">
      <c r="A44" s="180" t="s">
        <v>77</v>
      </c>
      <c r="B44" s="180"/>
      <c r="C44" s="1"/>
      <c r="D44" s="60" t="s">
        <v>73</v>
      </c>
      <c r="E44" s="5">
        <v>12</v>
      </c>
      <c r="F44" s="1"/>
      <c r="G44" s="70"/>
      <c r="H44" s="182">
        <f>4*650</f>
        <v>2600</v>
      </c>
      <c r="M44" s="1"/>
    </row>
    <row r="45" spans="1:13" ht="18" thickBot="1" x14ac:dyDescent="0.35">
      <c r="M45" s="1"/>
    </row>
    <row r="46" spans="1:13" ht="18" thickBot="1" x14ac:dyDescent="0.35">
      <c r="A46" s="147" t="s">
        <v>167</v>
      </c>
      <c r="B46" s="148"/>
      <c r="C46" s="71"/>
      <c r="D46" s="119" t="s">
        <v>61</v>
      </c>
      <c r="E46" s="119" t="s">
        <v>68</v>
      </c>
      <c r="F46" s="119" t="s">
        <v>70</v>
      </c>
      <c r="G46" s="195"/>
      <c r="H46" s="270">
        <f>SUM(H47:H48)</f>
        <v>18700</v>
      </c>
      <c r="J46" s="157"/>
      <c r="M46" s="1"/>
    </row>
    <row r="47" spans="1:13" ht="17.25" x14ac:dyDescent="0.3">
      <c r="A47" s="199" t="s">
        <v>173</v>
      </c>
      <c r="B47" s="90"/>
      <c r="C47" s="90"/>
      <c r="D47" s="149" t="s">
        <v>73</v>
      </c>
      <c r="E47" s="81">
        <v>100</v>
      </c>
      <c r="F47" s="14">
        <v>187</v>
      </c>
      <c r="G47" s="272"/>
      <c r="H47" s="273">
        <f>F47*E47</f>
        <v>18700</v>
      </c>
      <c r="J47" s="157"/>
      <c r="M47" s="1"/>
    </row>
    <row r="48" spans="1:13" ht="17.25" x14ac:dyDescent="0.3">
      <c r="A48" s="180"/>
      <c r="B48" s="180"/>
      <c r="C48" s="1"/>
      <c r="D48" s="60"/>
      <c r="E48" s="5"/>
      <c r="F48" s="1"/>
      <c r="G48" s="70"/>
      <c r="H48" s="182"/>
      <c r="L48" s="1"/>
      <c r="M48" s="91"/>
    </row>
    <row r="49" spans="1:13" ht="18" thickBot="1" x14ac:dyDescent="0.35">
      <c r="J49" s="157"/>
      <c r="L49" s="1"/>
      <c r="M49" s="91"/>
    </row>
    <row r="50" spans="1:13" ht="18" thickBot="1" x14ac:dyDescent="0.35">
      <c r="A50" s="299" t="s">
        <v>176</v>
      </c>
      <c r="B50" s="300"/>
      <c r="C50" s="71"/>
      <c r="D50" s="119"/>
      <c r="E50" s="119"/>
      <c r="F50" s="119"/>
      <c r="G50" s="195"/>
      <c r="H50" s="270">
        <f>SUM(H51:H52)</f>
        <v>-18700</v>
      </c>
      <c r="J50" s="157"/>
      <c r="L50" s="1"/>
      <c r="M50" s="91"/>
    </row>
    <row r="51" spans="1:13" ht="17.25" x14ac:dyDescent="0.3">
      <c r="A51" s="199" t="s">
        <v>172</v>
      </c>
      <c r="B51" s="90"/>
      <c r="C51" s="90"/>
      <c r="D51" s="149"/>
      <c r="E51" s="81"/>
      <c r="F51" s="14"/>
      <c r="G51" s="272"/>
      <c r="H51" s="273">
        <f>H92-H47</f>
        <v>-18700</v>
      </c>
      <c r="J51" s="157"/>
      <c r="L51" s="1"/>
      <c r="M51" s="91"/>
    </row>
    <row r="52" spans="1:13" ht="17.25" x14ac:dyDescent="0.3">
      <c r="A52" s="180" t="s">
        <v>174</v>
      </c>
      <c r="B52" s="180"/>
      <c r="C52" s="1"/>
      <c r="D52" s="60"/>
      <c r="E52" s="5"/>
      <c r="F52" s="1"/>
      <c r="G52" s="70"/>
      <c r="H52" s="274">
        <f>$H$94+$H$93</f>
        <v>0</v>
      </c>
      <c r="L52" s="1"/>
      <c r="M52" s="91"/>
    </row>
    <row r="53" spans="1:13" ht="17.25" x14ac:dyDescent="0.3">
      <c r="J53" s="157"/>
      <c r="K53" s="157"/>
      <c r="L53" s="1"/>
      <c r="M53" s="91"/>
    </row>
    <row r="54" spans="1:13" ht="17.25" x14ac:dyDescent="0.3">
      <c r="J54" s="157"/>
      <c r="L54" s="1"/>
      <c r="M54" s="91"/>
    </row>
    <row r="55" spans="1:13" ht="17.25" x14ac:dyDescent="0.3">
      <c r="J55" s="157"/>
      <c r="L55" s="1"/>
      <c r="M55" s="91"/>
    </row>
    <row r="56" spans="1:13" ht="18.75" x14ac:dyDescent="0.3">
      <c r="A56" s="1"/>
      <c r="B56" s="1"/>
      <c r="C56" s="1"/>
      <c r="D56" s="1"/>
      <c r="E56" s="1"/>
      <c r="F56" s="132"/>
      <c r="G56" s="132"/>
      <c r="L56" s="1"/>
      <c r="M56" s="91"/>
    </row>
    <row r="57" spans="1:13" ht="18" x14ac:dyDescent="0.3">
      <c r="A57" s="73"/>
      <c r="C57" s="73"/>
      <c r="D57" s="73"/>
      <c r="E57" s="262"/>
      <c r="F57" s="263" t="s">
        <v>113</v>
      </c>
      <c r="G57" s="264"/>
      <c r="H57" s="271">
        <f>H46+H40+H50</f>
        <v>65090</v>
      </c>
      <c r="L57" s="1"/>
      <c r="M57" s="91"/>
    </row>
    <row r="58" spans="1:13" ht="18.75" thickBot="1" x14ac:dyDescent="0.35">
      <c r="A58" s="73"/>
      <c r="B58" s="73"/>
      <c r="C58" s="73"/>
      <c r="E58" s="131"/>
      <c r="F58" s="269" t="s">
        <v>75</v>
      </c>
      <c r="G58" s="268">
        <v>0</v>
      </c>
      <c r="H58" s="247">
        <f>H57*G58</f>
        <v>0</v>
      </c>
      <c r="L58" s="1"/>
      <c r="M58" s="91"/>
    </row>
    <row r="59" spans="1:13" ht="19.5" thickBot="1" x14ac:dyDescent="0.35">
      <c r="A59" s="1"/>
      <c r="B59" s="1"/>
      <c r="C59" s="1"/>
      <c r="D59" s="1"/>
      <c r="E59" s="1"/>
      <c r="F59" s="132" t="s">
        <v>67</v>
      </c>
      <c r="G59" s="133"/>
      <c r="H59" s="183">
        <f>(H57-H58)</f>
        <v>65090</v>
      </c>
      <c r="L59" s="1"/>
      <c r="M59" s="91"/>
    </row>
    <row r="60" spans="1:13" ht="18.75" x14ac:dyDescent="0.3">
      <c r="A60" s="1"/>
      <c r="B60" s="1"/>
      <c r="C60" s="1"/>
      <c r="D60" s="1"/>
      <c r="E60" s="1"/>
      <c r="F60" s="132"/>
      <c r="G60" s="132"/>
      <c r="L60" s="1"/>
      <c r="M60" s="91"/>
    </row>
    <row r="61" spans="1:13" ht="18.75" x14ac:dyDescent="0.3">
      <c r="A61" s="1"/>
      <c r="B61" s="1"/>
      <c r="C61" s="1"/>
      <c r="D61" s="1"/>
      <c r="E61" s="1"/>
      <c r="F61" s="132"/>
      <c r="G61" s="132"/>
      <c r="L61" s="1"/>
      <c r="M61" s="91"/>
    </row>
    <row r="62" spans="1:13" ht="18.75" x14ac:dyDescent="0.3">
      <c r="A62" s="1"/>
      <c r="B62" s="1"/>
      <c r="C62" s="1"/>
      <c r="D62" s="1"/>
      <c r="E62" s="1"/>
      <c r="F62" s="132"/>
      <c r="G62" s="132"/>
      <c r="L62" s="1"/>
      <c r="M62" s="91"/>
    </row>
    <row r="63" spans="1:13" ht="18.75" x14ac:dyDescent="0.3">
      <c r="A63" s="1"/>
      <c r="B63" s="1"/>
      <c r="C63" s="1"/>
      <c r="D63" s="1"/>
      <c r="E63" s="1"/>
      <c r="F63" s="132"/>
      <c r="G63" s="132"/>
      <c r="L63" s="1"/>
      <c r="M63" s="91"/>
    </row>
    <row r="64" spans="1:13" ht="17.25" x14ac:dyDescent="0.3">
      <c r="A64" s="1"/>
      <c r="B64" s="1"/>
      <c r="C64" s="1"/>
      <c r="D64" s="1"/>
      <c r="E64" s="1"/>
      <c r="F64" s="1"/>
      <c r="G64" s="1"/>
      <c r="H64" s="1"/>
    </row>
    <row r="65" spans="1:13" ht="17.25" x14ac:dyDescent="0.3">
      <c r="A65" s="76"/>
      <c r="B65" s="76"/>
      <c r="C65" s="76"/>
      <c r="D65" s="76"/>
      <c r="E65" s="76"/>
      <c r="F65" s="76"/>
      <c r="G65" s="76"/>
      <c r="H65" s="76"/>
      <c r="J65" s="5"/>
      <c r="K65" s="5"/>
      <c r="M65" s="1"/>
    </row>
    <row r="66" spans="1:13" ht="18" thickBot="1" x14ac:dyDescent="0.35">
      <c r="L66" s="1"/>
      <c r="M66" s="1"/>
    </row>
    <row r="67" spans="1:13" ht="19.5" thickBot="1" x14ac:dyDescent="0.35">
      <c r="A67" s="192" t="s">
        <v>65</v>
      </c>
      <c r="B67" s="193"/>
      <c r="C67" s="194"/>
      <c r="D67" s="1"/>
      <c r="E67" s="1"/>
      <c r="F67" s="1"/>
      <c r="G67" s="1"/>
      <c r="H67" s="1"/>
      <c r="J67" t="s">
        <v>101</v>
      </c>
      <c r="K67" t="s">
        <v>102</v>
      </c>
      <c r="L67" t="s">
        <v>103</v>
      </c>
      <c r="M67" t="s">
        <v>104</v>
      </c>
    </row>
    <row r="68" spans="1:13" ht="18" thickBot="1" x14ac:dyDescent="0.35">
      <c r="A68" s="128" t="s">
        <v>13</v>
      </c>
      <c r="B68" s="119"/>
      <c r="C68" s="119"/>
      <c r="D68" s="188"/>
      <c r="E68" s="189"/>
      <c r="F68" s="119" t="s">
        <v>68</v>
      </c>
      <c r="G68" s="189" t="s">
        <v>14</v>
      </c>
      <c r="H68" s="190" t="s">
        <v>87</v>
      </c>
      <c r="J68" s="151" t="s">
        <v>93</v>
      </c>
      <c r="K68" s="156">
        <v>20000</v>
      </c>
      <c r="L68" s="90">
        <v>1</v>
      </c>
      <c r="M68" s="153">
        <f t="shared" ref="M68:M75" si="3">K68*L68</f>
        <v>20000</v>
      </c>
    </row>
    <row r="69" spans="1:13" ht="17.25" x14ac:dyDescent="0.3">
      <c r="A69" s="14"/>
      <c r="B69" s="14"/>
      <c r="C69" s="14"/>
      <c r="D69" s="14"/>
      <c r="E69" s="149"/>
      <c r="F69" s="149"/>
      <c r="G69" s="122"/>
      <c r="H69" s="149"/>
      <c r="J69" s="116" t="s">
        <v>94</v>
      </c>
      <c r="K69" s="157">
        <v>3000</v>
      </c>
      <c r="L69">
        <v>4</v>
      </c>
      <c r="M69" s="154">
        <f t="shared" si="3"/>
        <v>12000</v>
      </c>
    </row>
    <row r="70" spans="1:13" ht="17.25" x14ac:dyDescent="0.3">
      <c r="A70" s="1" t="s">
        <v>129</v>
      </c>
      <c r="B70" s="61"/>
      <c r="C70" s="4"/>
      <c r="D70" s="1"/>
      <c r="E70" s="60"/>
      <c r="F70" s="60">
        <v>9000</v>
      </c>
      <c r="G70" s="3">
        <v>155</v>
      </c>
      <c r="H70" s="60">
        <f>G70*F70</f>
        <v>1395000</v>
      </c>
      <c r="J70" s="116" t="s">
        <v>95</v>
      </c>
      <c r="K70" s="157">
        <v>5000</v>
      </c>
      <c r="L70">
        <v>2</v>
      </c>
      <c r="M70" s="154">
        <f t="shared" si="3"/>
        <v>10000</v>
      </c>
    </row>
    <row r="71" spans="1:13" ht="17.25" x14ac:dyDescent="0.3">
      <c r="A71" s="1"/>
      <c r="B71" s="61"/>
      <c r="F71" s="60"/>
      <c r="G71" s="3"/>
      <c r="H71" s="60"/>
      <c r="J71" s="116" t="s">
        <v>96</v>
      </c>
      <c r="K71" s="157">
        <v>8000</v>
      </c>
      <c r="L71">
        <v>1</v>
      </c>
      <c r="M71" s="154">
        <f t="shared" si="3"/>
        <v>8000</v>
      </c>
    </row>
    <row r="72" spans="1:13" ht="17.25" x14ac:dyDescent="0.3">
      <c r="A72" s="1"/>
      <c r="J72" s="116" t="s">
        <v>100</v>
      </c>
      <c r="K72" s="157">
        <v>5000</v>
      </c>
      <c r="L72">
        <v>1</v>
      </c>
      <c r="M72" s="154">
        <f t="shared" si="3"/>
        <v>5000</v>
      </c>
    </row>
    <row r="73" spans="1:13" ht="18" thickBot="1" x14ac:dyDescent="0.35">
      <c r="A73" s="1"/>
      <c r="B73" s="1"/>
      <c r="C73" s="1"/>
      <c r="D73" s="1" t="s">
        <v>128</v>
      </c>
      <c r="E73" s="60"/>
      <c r="F73" s="60"/>
      <c r="G73" s="3"/>
      <c r="H73" s="60"/>
      <c r="J73" s="116" t="s">
        <v>97</v>
      </c>
      <c r="K73" s="157">
        <v>2000</v>
      </c>
      <c r="L73">
        <v>1</v>
      </c>
      <c r="M73" s="154">
        <f t="shared" si="3"/>
        <v>2000</v>
      </c>
    </row>
    <row r="74" spans="1:13" ht="18" thickBot="1" x14ac:dyDescent="0.35">
      <c r="A74" s="1"/>
      <c r="B74" s="1"/>
      <c r="C74" s="1"/>
      <c r="D74" s="1"/>
      <c r="E74" s="118"/>
      <c r="F74" s="62" t="s">
        <v>3</v>
      </c>
      <c r="G74" s="63">
        <f>SUM(G69:G72)</f>
        <v>155</v>
      </c>
      <c r="H74" s="95">
        <f>SUM(H69:H73)</f>
        <v>1395000</v>
      </c>
      <c r="J74" s="116" t="s">
        <v>98</v>
      </c>
      <c r="K74" s="157">
        <v>7000</v>
      </c>
      <c r="L74">
        <v>1</v>
      </c>
      <c r="M74" s="154">
        <f t="shared" si="3"/>
        <v>7000</v>
      </c>
    </row>
    <row r="75" spans="1:13" ht="15.75" thickBot="1" x14ac:dyDescent="0.3">
      <c r="J75" s="116" t="s">
        <v>99</v>
      </c>
      <c r="K75" s="157">
        <v>15000</v>
      </c>
      <c r="L75">
        <v>1</v>
      </c>
      <c r="M75" s="154">
        <f t="shared" si="3"/>
        <v>15000</v>
      </c>
    </row>
    <row r="76" spans="1:13" ht="19.5" thickBot="1" x14ac:dyDescent="0.35">
      <c r="A76" s="202" t="s">
        <v>35</v>
      </c>
      <c r="B76" s="197"/>
      <c r="C76" s="197"/>
      <c r="D76" s="197"/>
      <c r="E76" s="308">
        <f>H74</f>
        <v>1395000</v>
      </c>
      <c r="F76" s="309"/>
      <c r="G76" s="309"/>
      <c r="H76" s="310"/>
      <c r="I76" s="1"/>
      <c r="J76" s="152"/>
      <c r="K76" s="117"/>
      <c r="L76" s="117"/>
      <c r="M76" s="155">
        <f>SUM(M68:M75)</f>
        <v>79000</v>
      </c>
    </row>
    <row r="77" spans="1:13" ht="18.75" x14ac:dyDescent="0.3">
      <c r="A77" s="199" t="s">
        <v>84</v>
      </c>
      <c r="B77" s="198"/>
      <c r="C77" s="198"/>
      <c r="D77" s="198"/>
      <c r="E77" s="311" t="s">
        <v>178</v>
      </c>
      <c r="F77" s="311"/>
      <c r="G77" s="311"/>
      <c r="H77" s="311"/>
    </row>
    <row r="78" spans="1:13" ht="15.75" thickBot="1" x14ac:dyDescent="0.3"/>
    <row r="79" spans="1:13" ht="20.25" thickBot="1" x14ac:dyDescent="0.3">
      <c r="A79" s="201" t="s">
        <v>44</v>
      </c>
      <c r="B79" s="59"/>
      <c r="C79" s="59"/>
      <c r="D79" s="59"/>
      <c r="E79" s="59"/>
      <c r="F79" s="59"/>
      <c r="G79" s="59"/>
      <c r="H79" s="127"/>
    </row>
    <row r="81" spans="1:10" ht="17.25" x14ac:dyDescent="0.25">
      <c r="A81" s="124" t="s">
        <v>21</v>
      </c>
      <c r="B81" s="125"/>
      <c r="C81" s="125"/>
      <c r="D81" s="126"/>
      <c r="E81" s="204">
        <f>IF($E$77="Medium",IF($E$76&gt;Data!D48,IF($E$76&gt;Data!D49,IF($E$76&gt;Data!D50,IF($E$76&gt;Data!D51,IF($E$76&gt;Data!D52,IF($E$76&gt;Data!D53,IF($E$76&gt;Data!D54,IF($E$76&gt;Data!D55,IF($E$76&gt;Data!D56,IF($E$76&gt;Data!D57,IF($E$76&gt;Data!D58,Data!E59,Data!E58),Data!E57),Data!E56),Data!E55),Data!E54),Data!E53),Data!E52),Data!E51),Data!E50),Data!E49),Data!E48),IF($E$77="High",(IF($E$76&gt;Data!D29,IF($E$76&gt;Data!D30,IF($E$76&gt;Data!D31,IF($E$76&gt;Data!D32,IF($E$76&gt;Data!D33,IF($E$76&gt;Data!D34,IF($E$76&gt;Data!D35,IF($E$76&gt;Data!D36,IF($E$76&gt;Data!D37,IF($E$76&gt;Data!D38,IF($E$76&gt;Data!D39,Data!E40,Data!E39),Data!E37),Data!E36),Data!E35),Data!E34),Data!E33),Data!E52),Data!E32),Data!E31),Data!E30),Data!E29)),IF($E$77="Low",(IF($E$76&gt;Data!D67,IF($E$76&gt;Data!D68,IF($E$76&gt;Data!D69,IF($E$76&gt;Data!D70,IF($E$76&gt;Data!D71,IF($E$76&gt;Data!D72,IF($E$76&gt;Data!D73,IF($E$76&gt;Data!D74,IF($E$76&gt;Data!D75,IF($E$76&gt;Data!D76,IF($E$76&gt;Data!D77,Data!E78,Data!E77),Data!E76),Data!E75),Data!E74),Data!E73),Data!E72),Data!E71),Data!E70),Data!E69),Data!E68),Data!E67)))))</f>
        <v>122193.97</v>
      </c>
      <c r="F81" s="129"/>
      <c r="G81" s="129"/>
      <c r="H81" s="130"/>
    </row>
    <row r="82" spans="1:10" ht="17.25" x14ac:dyDescent="0.25">
      <c r="A82" s="134" t="s">
        <v>49</v>
      </c>
      <c r="B82" s="61"/>
      <c r="C82" s="61"/>
      <c r="D82" s="135"/>
      <c r="E82" s="205">
        <f>IF($E$77="Medium",($E$76-(VLOOKUP($E$81,Data!E48:G59,3,FALSE)))*(VLOOKUP($E$81,Data!E48:G59,2,FALSE)),IF($E$77="High",($E$76-(VLOOKUP($E$81,Data!E29:G40,3,FALSE)))*(VLOOKUP($E$81,Data!E29:G40,2,FALSE)),IF($E$77="Low",($E$76-(VLOOKUP($E$81,Data!E66:G78,3,FALSE)))*(VLOOKUP($E$81,Data!E66:G78,2,FALSE)))))</f>
        <v>92603.37569999999</v>
      </c>
      <c r="F82" s="77"/>
      <c r="G82" s="77"/>
      <c r="H82" s="139"/>
    </row>
    <row r="83" spans="1:10" ht="17.25" x14ac:dyDescent="0.25">
      <c r="A83" s="134"/>
      <c r="B83" s="61"/>
      <c r="C83" s="61"/>
      <c r="D83" s="135"/>
      <c r="E83" s="205">
        <f>E81+E82</f>
        <v>214797.34570000001</v>
      </c>
      <c r="F83" s="77"/>
      <c r="G83" s="77"/>
      <c r="H83" s="139"/>
    </row>
    <row r="84" spans="1:10" ht="17.25" x14ac:dyDescent="0.25">
      <c r="A84" s="134" t="s">
        <v>52</v>
      </c>
      <c r="B84" s="61"/>
      <c r="C84" s="61"/>
      <c r="D84" s="135"/>
      <c r="E84" s="206">
        <v>0</v>
      </c>
      <c r="F84" s="4"/>
      <c r="G84" s="4"/>
      <c r="H84" s="142"/>
    </row>
    <row r="85" spans="1:10" ht="18" x14ac:dyDescent="0.25">
      <c r="A85" s="136" t="s">
        <v>54</v>
      </c>
      <c r="B85" s="137"/>
      <c r="C85" s="137"/>
      <c r="D85" s="138"/>
      <c r="E85" s="207">
        <f>E83+E84</f>
        <v>214797.34570000001</v>
      </c>
      <c r="F85" s="140"/>
      <c r="G85" s="140"/>
      <c r="H85" s="141"/>
    </row>
    <row r="86" spans="1:10" ht="15.75" thickBot="1" x14ac:dyDescent="0.3"/>
    <row r="87" spans="1:10" ht="19.5" thickBot="1" x14ac:dyDescent="0.35">
      <c r="A87" s="203" t="s">
        <v>36</v>
      </c>
      <c r="B87" s="143"/>
      <c r="C87" s="143"/>
      <c r="D87" s="144"/>
      <c r="E87" s="110" t="s">
        <v>37</v>
      </c>
      <c r="F87" s="110" t="s">
        <v>117</v>
      </c>
      <c r="G87" s="121" t="s">
        <v>66</v>
      </c>
      <c r="H87" s="110" t="s">
        <v>116</v>
      </c>
    </row>
    <row r="88" spans="1:10" ht="17.25" x14ac:dyDescent="0.3">
      <c r="A88" s="82" t="s">
        <v>123</v>
      </c>
      <c r="B88" s="122" t="s">
        <v>127</v>
      </c>
      <c r="C88" s="122"/>
      <c r="D88" s="122"/>
      <c r="E88" s="107">
        <v>0.02</v>
      </c>
      <c r="F88" s="81">
        <f>$E$85*E88</f>
        <v>4295.9469140000001</v>
      </c>
      <c r="G88" s="107">
        <v>0.3</v>
      </c>
      <c r="H88" s="108">
        <f>IF(G88=0,F88,F88-(F88*G88))</f>
        <v>3007.1628398000003</v>
      </c>
    </row>
    <row r="89" spans="1:10" ht="17.25" x14ac:dyDescent="0.3">
      <c r="A89" s="86" t="s">
        <v>122</v>
      </c>
      <c r="B89" s="3" t="s">
        <v>125</v>
      </c>
      <c r="C89" s="3"/>
      <c r="D89" s="3"/>
      <c r="E89" s="209">
        <v>0.15</v>
      </c>
      <c r="F89" s="5">
        <f t="shared" ref="F89:F94" si="4">$E$85*E89</f>
        <v>32219.601855000001</v>
      </c>
      <c r="G89" s="209">
        <v>0.3</v>
      </c>
      <c r="H89" s="85">
        <f t="shared" ref="H89:H94" si="5">IF(G89=0,F89,F89-(F89*G89))</f>
        <v>22553.721298500001</v>
      </c>
    </row>
    <row r="90" spans="1:10" ht="17.25" x14ac:dyDescent="0.3">
      <c r="A90" s="86" t="s">
        <v>121</v>
      </c>
      <c r="B90" s="3" t="s">
        <v>124</v>
      </c>
      <c r="C90" s="3"/>
      <c r="D90" s="3"/>
      <c r="E90" s="209">
        <v>0.2</v>
      </c>
      <c r="F90" s="5">
        <f t="shared" si="4"/>
        <v>42959.469140000001</v>
      </c>
      <c r="G90" s="209">
        <v>0.3</v>
      </c>
      <c r="H90" s="85">
        <f t="shared" si="5"/>
        <v>30071.628398000001</v>
      </c>
      <c r="J90" s="213"/>
    </row>
    <row r="91" spans="1:10" ht="17.25" x14ac:dyDescent="0.3">
      <c r="A91" s="86" t="s">
        <v>45</v>
      </c>
      <c r="B91" s="3" t="s">
        <v>46</v>
      </c>
      <c r="C91" s="3"/>
      <c r="D91" s="3"/>
      <c r="E91" s="209">
        <v>0.1</v>
      </c>
      <c r="F91" s="5">
        <f t="shared" si="4"/>
        <v>21479.734570000001</v>
      </c>
      <c r="G91" s="209">
        <v>0.2</v>
      </c>
      <c r="H91" s="85">
        <f t="shared" si="5"/>
        <v>17183.787656</v>
      </c>
      <c r="J91" s="213"/>
    </row>
    <row r="92" spans="1:10" ht="17.25" x14ac:dyDescent="0.3">
      <c r="A92" s="86" t="s">
        <v>57</v>
      </c>
      <c r="B92" s="3" t="s">
        <v>47</v>
      </c>
      <c r="C92" s="3"/>
      <c r="D92" s="3"/>
      <c r="E92" s="209">
        <v>0.2</v>
      </c>
      <c r="F92" s="5">
        <f t="shared" si="4"/>
        <v>42959.469140000001</v>
      </c>
      <c r="G92" s="209">
        <v>1</v>
      </c>
      <c r="H92" s="85">
        <f>IF(G92=0,F92,F92-(F92*G92))</f>
        <v>0</v>
      </c>
      <c r="J92" s="213"/>
    </row>
    <row r="93" spans="1:10" ht="17.25" x14ac:dyDescent="0.3">
      <c r="A93" s="86" t="s">
        <v>50</v>
      </c>
      <c r="B93" s="3" t="s">
        <v>126</v>
      </c>
      <c r="C93" s="3"/>
      <c r="D93" s="3"/>
      <c r="E93" s="209">
        <v>0.3</v>
      </c>
      <c r="F93" s="5">
        <f t="shared" si="4"/>
        <v>64439.203710000002</v>
      </c>
      <c r="G93" s="209">
        <v>1</v>
      </c>
      <c r="H93" s="85">
        <f>IF(G93=0,F93,F93-(F93*G93))</f>
        <v>0</v>
      </c>
      <c r="J93" s="213"/>
    </row>
    <row r="94" spans="1:10" ht="18" thickBot="1" x14ac:dyDescent="0.35">
      <c r="A94" s="87" t="s">
        <v>120</v>
      </c>
      <c r="B94" s="123" t="s">
        <v>119</v>
      </c>
      <c r="C94" s="123"/>
      <c r="D94" s="123"/>
      <c r="E94" s="109">
        <v>0.03</v>
      </c>
      <c r="F94" s="83">
        <f t="shared" si="4"/>
        <v>6443.9203710000002</v>
      </c>
      <c r="G94" s="109">
        <v>1</v>
      </c>
      <c r="H94" s="84">
        <f t="shared" si="5"/>
        <v>0</v>
      </c>
      <c r="J94" s="214"/>
    </row>
    <row r="95" spans="1:10" ht="18" thickBot="1" x14ac:dyDescent="0.35">
      <c r="A95" s="1"/>
      <c r="B95" s="1"/>
      <c r="C95" s="1"/>
      <c r="F95" s="1"/>
      <c r="G95" s="3"/>
      <c r="H95" s="1"/>
    </row>
    <row r="96" spans="1:10" ht="19.5" thickBot="1" x14ac:dyDescent="0.35">
      <c r="A96" s="1"/>
      <c r="B96" s="1"/>
      <c r="C96" s="1"/>
      <c r="E96" s="301" t="s">
        <v>90</v>
      </c>
      <c r="F96" s="302"/>
      <c r="G96" s="303"/>
      <c r="H96" s="115">
        <f>H97*(1-(SUM(H88:H94)/H97))</f>
        <v>141981.04550770001</v>
      </c>
    </row>
    <row r="97" spans="1:13" ht="19.5" thickBot="1" x14ac:dyDescent="0.35">
      <c r="B97" s="111"/>
      <c r="C97" s="111"/>
      <c r="E97" s="301" t="s">
        <v>53</v>
      </c>
      <c r="F97" s="302"/>
      <c r="G97" s="303"/>
      <c r="H97" s="115">
        <f>SUM(F88:F94)</f>
        <v>214797.34570000001</v>
      </c>
    </row>
    <row r="98" spans="1:13" ht="15.75" thickBot="1" x14ac:dyDescent="0.3"/>
    <row r="99" spans="1:13" ht="18.75" thickBot="1" x14ac:dyDescent="0.3">
      <c r="E99" s="304" t="s">
        <v>114</v>
      </c>
      <c r="F99" s="305"/>
      <c r="G99" s="306"/>
      <c r="H99" s="112">
        <f>H97-H96</f>
        <v>72816.300192299997</v>
      </c>
    </row>
    <row r="100" spans="1:13" ht="17.25" x14ac:dyDescent="0.3">
      <c r="A100" s="1"/>
      <c r="B100" s="208"/>
      <c r="C100" s="185"/>
      <c r="D100" s="185"/>
      <c r="E100" s="60"/>
      <c r="F100" s="168"/>
      <c r="G100" s="4"/>
      <c r="H100" s="77"/>
    </row>
    <row r="101" spans="1:13" x14ac:dyDescent="0.25">
      <c r="K101" s="91"/>
    </row>
    <row r="102" spans="1:13" x14ac:dyDescent="0.25">
      <c r="D102" s="307"/>
      <c r="E102" s="307"/>
    </row>
    <row r="104" spans="1:13" x14ac:dyDescent="0.25">
      <c r="D104" s="307"/>
      <c r="E104" s="307"/>
      <c r="M104" s="157"/>
    </row>
    <row r="106" spans="1:13" x14ac:dyDescent="0.25">
      <c r="D106" s="307"/>
      <c r="E106" s="307"/>
      <c r="F106" s="307"/>
      <c r="G106" s="307"/>
    </row>
    <row r="107" spans="1:13" x14ac:dyDescent="0.25">
      <c r="D107" s="307"/>
      <c r="E107" s="307"/>
      <c r="F107" s="307"/>
      <c r="G107" s="307"/>
    </row>
    <row r="108" spans="1:13" x14ac:dyDescent="0.25">
      <c r="D108" s="307"/>
      <c r="E108" s="307"/>
      <c r="F108" s="307"/>
      <c r="G108" s="307"/>
    </row>
    <row r="109" spans="1:13" x14ac:dyDescent="0.25">
      <c r="D109" s="307"/>
      <c r="E109" s="307"/>
      <c r="F109" s="307"/>
      <c r="G109" s="307"/>
    </row>
    <row r="110" spans="1:13" x14ac:dyDescent="0.25">
      <c r="D110" s="307"/>
      <c r="E110" s="307"/>
      <c r="F110" s="307"/>
      <c r="G110" s="307"/>
    </row>
    <row r="111" spans="1:13" x14ac:dyDescent="0.25">
      <c r="D111" s="307"/>
      <c r="E111" s="307"/>
      <c r="F111" s="307"/>
      <c r="G111" s="307"/>
    </row>
    <row r="112" spans="1:13" x14ac:dyDescent="0.25">
      <c r="D112" s="307"/>
      <c r="E112" s="307"/>
      <c r="F112" s="307"/>
      <c r="G112" s="307"/>
    </row>
    <row r="113" spans="4:14" x14ac:dyDescent="0.25">
      <c r="D113" s="307"/>
      <c r="E113" s="307"/>
      <c r="F113" s="307"/>
      <c r="G113" s="307"/>
    </row>
    <row r="115" spans="4:14" ht="22.5" customHeight="1" x14ac:dyDescent="0.25">
      <c r="D115" s="307"/>
      <c r="E115" s="307"/>
      <c r="F115" s="307"/>
      <c r="G115" s="307"/>
    </row>
    <row r="117" spans="4:14" x14ac:dyDescent="0.25">
      <c r="J117" s="210"/>
      <c r="L117" s="157"/>
    </row>
    <row r="118" spans="4:14" x14ac:dyDescent="0.25">
      <c r="L118" s="210"/>
      <c r="M118" s="157"/>
    </row>
    <row r="120" spans="4:14" x14ac:dyDescent="0.25">
      <c r="M120" s="91"/>
    </row>
    <row r="123" spans="4:14" x14ac:dyDescent="0.25">
      <c r="N123" s="157"/>
    </row>
    <row r="126" spans="4:14" x14ac:dyDescent="0.25">
      <c r="K126" s="114"/>
    </row>
    <row r="127" spans="4:14" x14ac:dyDescent="0.25">
      <c r="K127" s="113"/>
    </row>
    <row r="128" spans="4:14" x14ac:dyDescent="0.25">
      <c r="D128" s="307"/>
      <c r="E128" s="307"/>
    </row>
    <row r="129" spans="4:5" x14ac:dyDescent="0.25">
      <c r="D129" s="307"/>
      <c r="E129" s="307"/>
    </row>
    <row r="130" spans="4:5" x14ac:dyDescent="0.25">
      <c r="D130" s="307"/>
      <c r="E130" s="307"/>
    </row>
  </sheetData>
  <mergeCells count="38">
    <mergeCell ref="J15:L15"/>
    <mergeCell ref="J19:L19"/>
    <mergeCell ref="B16:C16"/>
    <mergeCell ref="A11:H11"/>
    <mergeCell ref="A13:C13"/>
    <mergeCell ref="A14:C14"/>
    <mergeCell ref="A15:B15"/>
    <mergeCell ref="D130:E130"/>
    <mergeCell ref="D128:E128"/>
    <mergeCell ref="E96:G96"/>
    <mergeCell ref="E76:H76"/>
    <mergeCell ref="E77:H77"/>
    <mergeCell ref="F106:G106"/>
    <mergeCell ref="F107:G107"/>
    <mergeCell ref="F108:G108"/>
    <mergeCell ref="F109:G109"/>
    <mergeCell ref="F110:G110"/>
    <mergeCell ref="F111:G111"/>
    <mergeCell ref="F112:G112"/>
    <mergeCell ref="D115:E115"/>
    <mergeCell ref="D106:E106"/>
    <mergeCell ref="D104:E104"/>
    <mergeCell ref="D102:E102"/>
    <mergeCell ref="A21:B21"/>
    <mergeCell ref="E97:G97"/>
    <mergeCell ref="E99:G99"/>
    <mergeCell ref="D129:E129"/>
    <mergeCell ref="D107:E107"/>
    <mergeCell ref="D108:E108"/>
    <mergeCell ref="D109:E109"/>
    <mergeCell ref="D110:E110"/>
    <mergeCell ref="D111:E111"/>
    <mergeCell ref="D112:E112"/>
    <mergeCell ref="F115:G115"/>
    <mergeCell ref="D113:E113"/>
    <mergeCell ref="F113:G113"/>
    <mergeCell ref="A25:B25"/>
    <mergeCell ref="A50:B50"/>
  </mergeCells>
  <phoneticPr fontId="25" type="noConversion"/>
  <dataValidations count="2">
    <dataValidation type="list" allowBlank="1" showInputMessage="1" showErrorMessage="1" sqref="E77" xr:uid="{ECF54CF7-43CA-4261-8A26-6CBCF5480061}">
      <formula1>"Low,Medium,High"</formula1>
    </dataValidation>
    <dataValidation type="list" allowBlank="1" showInputMessage="1" showErrorMessage="1" sqref="D16:D19 D41:D44 D51:D52 D47:D48 D22:D24 D26:D30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29" t="s">
        <v>44</v>
      </c>
      <c r="C13" s="330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27" t="s">
        <v>53</v>
      </c>
      <c r="O14" s="328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1" t="s">
        <v>18</v>
      </c>
      <c r="C24" s="331"/>
      <c r="D24" s="331"/>
      <c r="E24" s="331"/>
      <c r="F24" s="331"/>
      <c r="G24" s="331"/>
    </row>
    <row r="25" spans="2:12" x14ac:dyDescent="0.3">
      <c r="B25" s="332" t="s">
        <v>19</v>
      </c>
      <c r="C25" s="332" t="s">
        <v>20</v>
      </c>
      <c r="D25" s="332"/>
      <c r="E25" s="332" t="s">
        <v>21</v>
      </c>
      <c r="F25" s="332" t="s">
        <v>22</v>
      </c>
      <c r="G25" s="332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32"/>
      <c r="C26" s="10"/>
      <c r="D26" s="10"/>
      <c r="E26" s="332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32"/>
      <c r="C27" s="10" t="s">
        <v>23</v>
      </c>
      <c r="D27" s="10" t="s">
        <v>24</v>
      </c>
      <c r="E27" s="332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32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2025-11-24T12:47:48Z</dcterms:modified>
</cp:coreProperties>
</file>