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3 - Indalo Spa_Baywest Mall\"/>
    </mc:Choice>
  </mc:AlternateContent>
  <xr:revisionPtr revIDLastSave="0" documentId="13_ncr:1_{AC8021C9-7DDC-4884-9B44-F310FA614C21}" xr6:coauthVersionLast="47" xr6:coauthVersionMax="47" xr10:uidLastSave="{00000000-0000-0000-0000-000000000000}"/>
  <bookViews>
    <workbookView xWindow="-28920" yWindow="-120" windowWidth="29040" windowHeight="1584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19" i="3"/>
  <c r="G20" i="3"/>
  <c r="G21" i="3"/>
  <c r="G22" i="3"/>
  <c r="G16" i="3"/>
  <c r="G23" i="3"/>
  <c r="F19" i="3"/>
  <c r="E19" i="3"/>
  <c r="H19" i="3" s="1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 l="1"/>
  <c r="K39" i="3"/>
  <c r="M19" i="3"/>
  <c r="L34" i="3"/>
  <c r="K24" i="3"/>
  <c r="L24" i="3" s="1"/>
  <c r="N24" i="3" s="1"/>
  <c r="M24" i="3" s="1"/>
  <c r="M26" i="3" s="1"/>
  <c r="M28" i="3" s="1"/>
  <c r="L35" i="3"/>
  <c r="L33" i="3"/>
  <c r="K40" i="3" l="1"/>
  <c r="K41" i="3"/>
  <c r="L36" i="3"/>
</calcChain>
</file>

<file path=xl/sharedStrings.xml><?xml version="1.0" encoding="utf-8"?>
<sst xmlns="http://schemas.openxmlformats.org/spreadsheetml/2006/main" count="264" uniqueCount="179">
  <si>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</si>
  <si>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</si>
  <si>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</si>
  <si>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</si>
  <si>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</si>
  <si>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</si>
  <si>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</si>
  <si>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</si>
  <si>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</si>
  <si>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</si>
  <si>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</si>
  <si>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</si>
  <si>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</si>
  <si>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</si>
  <si>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</si>
  <si>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</si>
  <si>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</si>
  <si>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</si>
  <si>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</si>
  <si>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</si>
  <si>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</si>
  <si>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</si>
  <si>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</si>
  <si>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</si>
  <si>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</si>
  <si>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</si>
  <si>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</si>
  <si>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</si>
  <si>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</si>
  <si>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</si>
  <si>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</si>
  <si>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</si>
  <si>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</si>
  <si>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</si>
  <si>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</si>
  <si>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</si>
  <si>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</si>
  <si>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</si>
  <si>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</si>
  <si>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</si>
  <si>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</si>
  <si>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</si>
  <si>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</si>
  <si>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</si>
  <si>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</si>
  <si>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</si>
  <si>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</si>
  <si>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</si>
  <si>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</si>
  <si>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</si>
  <si>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</si>
  <si>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</si>
  <si>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</si>
  <si>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</si>
  <si>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</si>
  <si>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</si>
  <si>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</si>
  <si>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</si>
  <si>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</si>
  <si>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</si>
  <si>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</si>
  <si>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</si>
  <si>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</si>
  <si>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</si>
  <si>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</si>
  <si>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</si>
  <si>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</si>
  <si>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</si>
  <si>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</si>
  <si>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</si>
  <si>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</si>
  <si>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</si>
  <si>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</si>
  <si>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</si>
  <si>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</si>
  <si>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</si>
  <si>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</si>
  <si>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</si>
  <si>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</si>
  <si>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</si>
  <si>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</si>
  <si>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</si>
  <si>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</si>
  <si>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</si>
  <si>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</si>
  <si>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</si>
  <si>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</si>
  <si>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</si>
  <si>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</si>
  <si>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</si>
  <si>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</si>
  <si>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</si>
  <si>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</si>
  <si>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</si>
  <si>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</si>
  <si>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</si>
  <si>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</si>
  <si>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</si>
  <si>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</si>
  <si>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</si>
  <si>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</si>
  <si>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</si>
  <si>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</si>
  <si>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</si>
  <si>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</si>
  <si>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</si>
  <si>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</si>
  <si>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</si>
  <si>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</si>
  <si>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</si>
  <si>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</si>
  <si>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</si>
  <si>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</si>
  <si>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</si>
  <si>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</si>
  <si>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</si>
  <si>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</si>
  <si>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</si>
  <si>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</si>
  <si>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</si>
  <si>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</si>
  <si>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</si>
  <si>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</si>
  <si>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</si>
  <si>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</si>
  <si>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</si>
  <si>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</si>
  <si>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</si>
  <si>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</si>
  <si>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</si>
  <si>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</si>
  <si>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</si>
  <si>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</si>
  <si>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</si>
  <si>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</si>
  <si>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</si>
  <si>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</si>
  <si>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</si>
  <si>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</si>
  <si>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</si>
  <si>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</si>
  <si>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</si>
  <si>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</si>
  <si>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</si>
  <si>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</si>
  <si>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</si>
  <si>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</si>
  <si>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</si>
  <si>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</si>
  <si>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</si>
  <si>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</si>
  <si>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</si>
  <si>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</si>
  <si>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</si>
  <si>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</si>
  <si>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</si>
  <si>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</si>
  <si>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</si>
  <si>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</si>
  <si>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</si>
  <si>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</si>
  <si>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</si>
  <si>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</si>
  <si>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</si>
  <si>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</si>
  <si>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</si>
  <si>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</si>
  <si>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</si>
  <si>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</si>
  <si>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</si>
  <si>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</si>
  <si>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</si>
  <si>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Hannes</t>
  </si>
  <si>
    <t>Johan</t>
  </si>
  <si>
    <t>DIANE FOUNDERS FEE:</t>
  </si>
  <si>
    <t>TOTAL PROJECT</t>
  </si>
  <si>
    <t>FOUNDERS FEE MARKUP</t>
  </si>
  <si>
    <t>TOTAL PROJECT FEES:</t>
  </si>
  <si>
    <t>Incl. Founders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</si>
</sst>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3" fillId="0" borderId="14" xfId="0" applyFont="1" applyFill="1" applyBorder="1"/>
    <xf numFmtId="9" fontId="0" fillId="0" borderId="14" xfId="0" applyNumberFormat="1" applyBorder="1" applyAlignment="1">
      <alignment horizontal="center" vertical="center"/>
    </xf>
    <xf numFmtId="0" fontId="3" fillId="0" borderId="14" xfId="0" applyFont="1" applyFill="1" applyBorder="1" applyAlignment="1"/>
    <xf numFmtId="44" fontId="0" fillId="0" borderId="14" xfId="0" applyNumberFormat="1" applyBorder="1"/>
    <xf numFmtId="44" fontId="3" fillId="0" borderId="54" xfId="0" applyNumberFormat="1" applyFont="1" applyBorder="1" applyAlignment="1">
      <alignment horizontal="left"/>
    </xf>
    <xf numFmtId="44" fontId="0" fillId="0" borderId="54" xfId="0" applyNumberFormat="1" applyBorder="1"/>
    <xf numFmtId="44" fontId="27" fillId="4" borderId="55" xfId="0" applyNumberFormat="1" applyFont="1" applyFill="1" applyBorder="1"/>
    <xf numFmtId="44" fontId="26" fillId="0" borderId="52" xfId="0" applyNumberFormat="1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1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</row>
    <row r="4" spans="1:11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1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</row>
    <row r="6" spans="1:11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</row>
    <row r="7" spans="1:11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</row>
    <row r="8" spans="1:11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</row>
    <row r="9" spans="1:11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</row>
    <row r="10" spans="1:11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279" t="s">
        <v>9</v>
      </c>
      <c r="F12" s="280"/>
      <c r="G12" s="281"/>
      <c r="H12" s="279" t="s">
        <v>4</v>
      </c>
      <c r="I12" s="281"/>
      <c r="J12" s="225" t="s">
        <v>136</v>
      </c>
    </row>
    <row r="13" spans="1:11" x14ac:dyDescent="0.3">
      <c r="A13" s="221">
        <v>1</v>
      </c>
      <c r="B13" s="231" t="s">
        <v>137</v>
      </c>
      <c r="C13" s="113" t="s">
        <v>2</v>
      </c>
      <c r="D13" s="223">
        <v>40000</v>
      </c>
      <c r="E13" s="277">
        <v>0.1</v>
      </c>
      <c r="F13" s="277"/>
      <c r="G13" s="223">
        <f>D13*E13</f>
        <v>4000</v>
      </c>
      <c r="H13" s="286">
        <f>D13+G13</f>
        <v>44000</v>
      </c>
      <c r="I13" s="286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278">
        <v>0.1</v>
      </c>
      <c r="F14" s="278"/>
      <c r="G14" s="223">
        <f>D14*E14</f>
        <v>2400</v>
      </c>
      <c r="H14" s="285">
        <f>D14+G14</f>
        <v>26400</v>
      </c>
      <c r="I14" s="285"/>
      <c r="J14" s="113">
        <v>1</v>
      </c>
    </row>
    <row r="15" spans="1:11" x14ac:dyDescent="0.3">
      <c r="A15" s="221"/>
      <c r="B15" s="113"/>
      <c r="C15" s="113"/>
      <c r="D15" s="222"/>
      <c r="E15" s="275"/>
      <c r="F15" s="275"/>
      <c r="G15" s="223"/>
      <c r="H15" s="285"/>
      <c r="I15" s="285"/>
      <c r="J15" s="113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68" t="s">
        <v>6</v>
      </c>
      <c r="B17" s="268"/>
      <c r="C17" s="268"/>
      <c r="D17" s="268"/>
      <c r="E17" s="268"/>
      <c r="F17" s="268"/>
      <c r="G17" s="268"/>
      <c r="H17" s="268"/>
      <c r="I17" s="268"/>
      <c r="J17" s="268"/>
      <c r="K17"/>
    </row>
    <row r="18" spans="1:15" ht="18" thickBot="1" x14ac:dyDescent="0.35">
      <c r="A18" s="224" t="s">
        <v>89</v>
      </c>
      <c r="B18" s="228" t="s">
        <v>7</v>
      </c>
      <c r="C18" s="269" t="s">
        <v>10</v>
      </c>
      <c r="D18" s="270"/>
      <c r="E18" s="264" t="s">
        <v>8</v>
      </c>
      <c r="F18" s="265"/>
      <c r="G18" s="272" t="s">
        <v>11</v>
      </c>
      <c r="H18" s="273"/>
      <c r="I18" s="273"/>
      <c r="J18" s="273"/>
      <c r="K18"/>
    </row>
    <row r="19" spans="1:15" x14ac:dyDescent="0.3">
      <c r="A19" s="221">
        <v>1</v>
      </c>
      <c r="B19" s="230">
        <v>21</v>
      </c>
      <c r="C19" s="271">
        <f>D45</f>
        <v>6240.323166666667</v>
      </c>
      <c r="D19" s="271"/>
      <c r="E19" s="282">
        <v>8</v>
      </c>
      <c r="F19" s="282"/>
      <c r="G19" s="274">
        <f>ROUNDUP(C19/E19,-0.1)</f>
        <v>781</v>
      </c>
      <c r="H19" s="274"/>
      <c r="I19" s="274"/>
      <c r="J19" s="274"/>
      <c r="K19" s="113"/>
    </row>
    <row r="20" spans="1:15" x14ac:dyDescent="0.3">
      <c r="A20" s="221">
        <v>2</v>
      </c>
      <c r="B20" s="230">
        <v>21</v>
      </c>
      <c r="C20" s="275">
        <f ca="1">J45</f>
        <v>5167.8</v>
      </c>
      <c r="D20" s="275"/>
      <c r="E20" s="283">
        <v>8</v>
      </c>
      <c r="F20" s="283"/>
      <c r="G20" s="276">
        <f ca="1">ROUNDUP(C20/E20,-1)</f>
        <v>650</v>
      </c>
      <c r="H20" s="276"/>
      <c r="I20" s="276"/>
      <c r="J20" s="276"/>
      <c r="K20" s="113"/>
    </row>
    <row r="21" spans="1:15" x14ac:dyDescent="0.3">
      <c r="A21" s="4"/>
      <c r="E21" s="284"/>
      <c r="F21" s="284"/>
      <c r="K21"/>
    </row>
    <row r="22" spans="1:15" ht="21" thickBot="1" x14ac:dyDescent="0.35">
      <c r="A22" s="266" t="s">
        <v>138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4"/>
      <c r="B23" s="243" t="s">
        <v>139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140</v>
      </c>
      <c r="C24" s="14"/>
      <c r="D24" s="250">
        <v>9510</v>
      </c>
      <c r="E24" s="251"/>
      <c r="F24" s="244">
        <v>1</v>
      </c>
      <c r="G24" s="1" t="s">
        <v>168</v>
      </c>
      <c r="I24" s="260">
        <v>1</v>
      </c>
      <c r="J24" s="252">
        <f ca="1">SUMIF($L$33:$O$42,G24,$O$33:$O$42)*$I$24</f>
        <v>750</v>
      </c>
      <c r="L24" s="1" t="s">
        <v>157</v>
      </c>
    </row>
    <row r="25" spans="1:15" x14ac:dyDescent="0.3">
      <c r="A25" s="4">
        <v>2</v>
      </c>
      <c r="B25" s="1" t="s">
        <v>141</v>
      </c>
      <c r="D25" s="215">
        <v>1000</v>
      </c>
      <c r="E25" s="252"/>
      <c r="F25" s="244">
        <v>2</v>
      </c>
      <c r="G25" s="1" t="s">
        <v>169</v>
      </c>
      <c r="I25" s="260">
        <v>1</v>
      </c>
      <c r="J25" s="252">
        <f ca="1">SUMIF($L$33:$O$43,G25,$O$33:$O$43)*$I$25</f>
        <v>350</v>
      </c>
      <c r="L25" s="233" t="s">
        <v>158</v>
      </c>
      <c r="M25" s="248" t="s">
        <v>159</v>
      </c>
      <c r="N25" s="234" t="s">
        <v>4</v>
      </c>
      <c r="O25" s="249" t="s">
        <v>160</v>
      </c>
    </row>
    <row r="26" spans="1:15" x14ac:dyDescent="0.3">
      <c r="A26" s="4">
        <v>3</v>
      </c>
      <c r="B26" s="1" t="s">
        <v>143</v>
      </c>
      <c r="D26" s="215">
        <v>3830</v>
      </c>
      <c r="E26" s="252"/>
      <c r="F26" s="244">
        <v>3</v>
      </c>
      <c r="G26" s="1" t="s">
        <v>140</v>
      </c>
      <c r="I26" s="260">
        <v>0.3</v>
      </c>
      <c r="J26" s="252">
        <f ca="1">SUMIF($B$24:$D$36,G26,$D$24:$D$36)*I26</f>
        <v>2853</v>
      </c>
      <c r="L26" s="175" t="s">
        <v>165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144</v>
      </c>
      <c r="D27" s="215">
        <v>600</v>
      </c>
      <c r="E27" s="252"/>
      <c r="F27" s="244">
        <v>4</v>
      </c>
      <c r="G27" s="1" t="s">
        <v>141</v>
      </c>
      <c r="I27" s="260">
        <v>0.3</v>
      </c>
      <c r="J27" s="252">
        <f ca="1">SUMIF($B$24:$D$36,G27,$D$24:$D$36)*I27</f>
        <v>300</v>
      </c>
      <c r="L27" s="77" t="s">
        <v>161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145</v>
      </c>
      <c r="D28" s="215">
        <v>770</v>
      </c>
      <c r="E28" s="252"/>
      <c r="F28" s="244">
        <v>5</v>
      </c>
      <c r="G28" s="1" t="s">
        <v>144</v>
      </c>
      <c r="I28" s="260">
        <v>0.3</v>
      </c>
      <c r="J28" s="252">
        <f ca="1">SUMIF($B$24:$D$36,G28,$D$24:$D$36)*I28</f>
        <v>180</v>
      </c>
      <c r="L28" s="77" t="s">
        <v>162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146</v>
      </c>
      <c r="D29" s="215">
        <f>700*4*2</f>
        <v>5600</v>
      </c>
      <c r="E29" s="252"/>
      <c r="F29" s="244">
        <v>6</v>
      </c>
      <c r="G29" s="1" t="s">
        <v>145</v>
      </c>
      <c r="I29" s="260">
        <v>0.3</v>
      </c>
      <c r="J29" s="252">
        <f ca="1">SUMIF($B$24:$D$36,G29,$D$24:$D$36)*I29</f>
        <v>231</v>
      </c>
      <c r="L29" s="179" t="s">
        <v>163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147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148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149</v>
      </c>
      <c r="D32" s="215">
        <f>O43*2</f>
        <v>700</v>
      </c>
      <c r="E32" s="252"/>
      <c r="J32" s="178"/>
      <c r="L32" s="1" t="s">
        <v>164</v>
      </c>
    </row>
    <row r="33" spans="1:15" x14ac:dyDescent="0.3">
      <c r="A33" s="4">
        <v>10</v>
      </c>
      <c r="B33" s="1" t="s">
        <v>150</v>
      </c>
      <c r="D33" s="215">
        <f>10000/12</f>
        <v>833.33333333333337</v>
      </c>
      <c r="E33" s="252"/>
      <c r="J33" s="178"/>
      <c r="L33" s="175" t="s">
        <v>165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151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152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142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168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170</v>
      </c>
      <c r="D38" s="215">
        <f>SUM(D24:D36)</f>
        <v>30343.333333333332</v>
      </c>
      <c r="E38" s="215"/>
      <c r="G38" s="69" t="s">
        <v>170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153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153</v>
      </c>
      <c r="H39" s="240"/>
      <c r="I39" s="261">
        <v>15.5</v>
      </c>
      <c r="J39" s="262">
        <f ca="1">SUM(J38)*(1+I39)</f>
        <v>76956</v>
      </c>
      <c r="L39" s="1" t="s">
        <v>167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149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154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166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171</v>
      </c>
      <c r="C43" s="6"/>
      <c r="D43" s="255">
        <f>D39+D41</f>
        <v>124806.46333333333</v>
      </c>
      <c r="E43" s="256"/>
      <c r="F43" s="215"/>
      <c r="G43" s="235" t="s">
        <v>171</v>
      </c>
      <c r="H43" s="6"/>
      <c r="I43" s="6"/>
      <c r="J43" s="255">
        <f ca="1">J39+J41</f>
        <v>103356</v>
      </c>
      <c r="L43" s="233" t="s">
        <v>169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155</v>
      </c>
      <c r="C45" s="6"/>
      <c r="D45" s="257">
        <f>D43/4/5</f>
        <v>6240.323166666667</v>
      </c>
      <c r="E45" s="215"/>
      <c r="F45" s="95"/>
      <c r="G45" s="236" t="s">
        <v>155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156</v>
      </c>
      <c r="C46" s="241"/>
      <c r="D46" s="258">
        <f>D45/8</f>
        <v>780.04039583333338</v>
      </c>
      <c r="E46" s="215"/>
      <c r="G46" s="89" t="s">
        <v>156</v>
      </c>
      <c r="H46" s="6"/>
      <c r="I46" s="6"/>
      <c r="J46" s="257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zoomScaleNormal="100" workbookViewId="0">
      <selection activeCell="K12" sqref="K12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7.5703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95" t="s">
        <v>12</v>
      </c>
      <c r="B11" s="296"/>
      <c r="C11" s="296"/>
      <c r="D11" s="296"/>
      <c r="E11" s="296"/>
      <c r="F11" s="296"/>
      <c r="G11" s="296"/>
      <c r="H11" s="29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8" t="s">
        <v>63</v>
      </c>
      <c r="B13" s="299"/>
      <c r="C13" s="30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1" t="s">
        <v>59</v>
      </c>
      <c r="B14" s="302"/>
      <c r="C14" s="30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3" t="s">
        <v>77</v>
      </c>
      <c r="B15" s="304"/>
      <c r="C15" s="71"/>
      <c r="D15" s="71"/>
      <c r="E15" s="71"/>
      <c r="F15" s="76">
        <f>SUM(F16:F29)</f>
        <v>40</v>
      </c>
      <c r="G15" s="218">
        <f>SUM(G16:G22)</f>
        <v>5</v>
      </c>
      <c r="H15" s="187">
        <f ca="1">SUM(H16:H22)</f>
        <v>26524</v>
      </c>
      <c r="I15" s="1"/>
      <c r="J15" s="288" t="s">
        <v>71</v>
      </c>
      <c r="K15" s="289"/>
      <c r="L15" s="290"/>
      <c r="M15" s="152">
        <f>G15</f>
        <v>5</v>
      </c>
    </row>
    <row r="16" spans="1:13" ht="17.25" x14ac:dyDescent="0.3">
      <c r="A16" s="182" t="s">
        <v>42</v>
      </c>
      <c r="B16" s="294"/>
      <c r="C16" s="294"/>
      <c r="D16" s="60" t="s">
        <v>172</v>
      </c>
      <c r="E16" s="60">
        <f>IF(D16="Dewald", Employees!$G$19,IF(D16="Hannes",Employees!$G$19,IF(D16="Johan",Employees!$G$20,"")))</f>
        <v>781</v>
      </c>
      <c r="F16" s="3">
        <v>0</v>
      </c>
      <c r="G16" s="183">
        <f t="shared" ref="G16:G22" si="0">IF(F16="","",F16/8)</f>
        <v>0</v>
      </c>
      <c r="H16" s="185">
        <f t="shared" ref="H16:H20" si="1">IF(E16="","",F16*E16)</f>
        <v>0</v>
      </c>
      <c r="I16" s="1"/>
      <c r="M16" s="3"/>
    </row>
    <row r="17" spans="1:14" ht="17.25" x14ac:dyDescent="0.3">
      <c r="A17" s="1" t="s">
        <v>114</v>
      </c>
      <c r="B17" s="1"/>
      <c r="C17" s="1"/>
      <c r="D17" s="60" t="s">
        <v>173</v>
      </c>
      <c r="E17" s="60">
        <f ca="1">IF(D17="Dewald", Employees!$G$19,IF(D17="Hannes",Employees!$G$19,IF(D17="Johan",Employees!$G$20,"")))</f>
        <v>650</v>
      </c>
      <c r="F17" s="3">
        <v>36</v>
      </c>
      <c r="G17" s="183">
        <f t="shared" si="0"/>
        <v>4.5</v>
      </c>
      <c r="H17" s="185">
        <f t="shared" ca="1" si="1"/>
        <v>23400</v>
      </c>
      <c r="I17" s="1"/>
      <c r="M17" s="3"/>
    </row>
    <row r="18" spans="1:14" ht="18" thickBot="1" x14ac:dyDescent="0.35">
      <c r="A18" s="1" t="s">
        <v>133</v>
      </c>
      <c r="B18" s="1"/>
      <c r="C18" s="1"/>
      <c r="D18" s="60" t="s">
        <v>172</v>
      </c>
      <c r="E18" s="60">
        <f>IF(D18="Dewald", Employees!$G$19,IF(D18="Hannes",Employees!$G$19,IF(D18="Johan",Employees!$G$20,"")))</f>
        <v>781</v>
      </c>
      <c r="F18" s="3">
        <v>4</v>
      </c>
      <c r="G18" s="183">
        <f t="shared" si="0"/>
        <v>0.5</v>
      </c>
      <c r="H18" s="185">
        <f t="shared" si="1"/>
        <v>3124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85" t="str">
        <f>IF(C19="","",D19*C19)</f>
        <v/>
      </c>
      <c r="G19" s="183" t="str">
        <f t="shared" si="0"/>
        <v/>
      </c>
      <c r="H19" s="185" t="str">
        <f>IF(E19="","",F19*E19)</f>
        <v/>
      </c>
      <c r="I19" s="1"/>
      <c r="J19" s="291" t="s">
        <v>74</v>
      </c>
      <c r="K19" s="292"/>
      <c r="L19" s="293"/>
      <c r="M19" s="105">
        <f ca="1">H26/M15</f>
        <v>5304.8</v>
      </c>
    </row>
    <row r="20" spans="1:14" ht="17.25" x14ac:dyDescent="0.3">
      <c r="A20" s="182"/>
      <c r="D20" s="60"/>
      <c r="E20" s="60" t="str">
        <f>IF(D20="Dewald", Employees!$G$19,IF(D20="Hannes",Employees!$G$19,IF(D20="Johan",Employees!$G$20,"")))</f>
        <v/>
      </c>
      <c r="F20" s="3"/>
      <c r="G20" s="183" t="str">
        <f t="shared" si="0"/>
        <v/>
      </c>
      <c r="H20" s="185" t="str">
        <f t="shared" si="1"/>
        <v/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3" si="2">IF(F23="","",F23/8)</f>
        <v/>
      </c>
      <c r="H23" s="159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 ca="1">H15</f>
        <v>26524</v>
      </c>
      <c r="I24" s="1"/>
      <c r="J24" s="106">
        <f ca="1">H26</f>
        <v>26524</v>
      </c>
      <c r="K24" s="60">
        <f ca="1">J24*0.05</f>
        <v>1326.2</v>
      </c>
      <c r="L24" s="60">
        <f ca="1">J24-K24</f>
        <v>25197.8</v>
      </c>
      <c r="M24" s="106">
        <f ca="1">L24-N24</f>
        <v>14698.716666666665</v>
      </c>
      <c r="N24" s="108">
        <f ca="1">L24/2.4</f>
        <v>10499.083333333334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26524</v>
      </c>
      <c r="I26" s="1"/>
      <c r="J26" s="99" t="s">
        <v>81</v>
      </c>
      <c r="K26" s="94"/>
      <c r="L26" s="94"/>
      <c r="M26" s="107">
        <f ca="1">M24*0.15</f>
        <v>2204.8074999999999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 ca="1">M24-M26</f>
        <v>12493.909166666665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109</v>
      </c>
      <c r="K32" s="161" t="s">
        <v>110</v>
      </c>
      <c r="L32" s="161" t="s">
        <v>111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25200</v>
      </c>
      <c r="I33" s="1"/>
      <c r="J33" s="162" t="s">
        <v>106</v>
      </c>
      <c r="K33" s="163">
        <v>0.6</v>
      </c>
      <c r="L33" s="164">
        <f ca="1">J24*K33</f>
        <v>15914.4</v>
      </c>
    </row>
    <row r="34" spans="1:13" ht="17.25" x14ac:dyDescent="0.3">
      <c r="A34" s="182" t="s">
        <v>42</v>
      </c>
      <c r="B34" s="182"/>
      <c r="C34" s="1"/>
      <c r="D34" s="60" t="s">
        <v>73</v>
      </c>
      <c r="E34" s="5">
        <v>110</v>
      </c>
      <c r="F34" s="1">
        <v>0</v>
      </c>
      <c r="G34" s="70"/>
      <c r="H34" s="185">
        <f>F34*E34</f>
        <v>0</v>
      </c>
      <c r="I34" s="1"/>
      <c r="J34" s="162" t="s">
        <v>107</v>
      </c>
      <c r="K34" s="163">
        <v>0.32</v>
      </c>
      <c r="L34" s="164">
        <f ca="1">J24*K34</f>
        <v>8487.68</v>
      </c>
    </row>
    <row r="35" spans="1:13" ht="18" thickBot="1" x14ac:dyDescent="0.35">
      <c r="A35" s="182" t="s">
        <v>114</v>
      </c>
      <c r="B35" s="182"/>
      <c r="C35" s="1"/>
      <c r="D35" s="60" t="s">
        <v>73</v>
      </c>
      <c r="E35" s="5">
        <v>110</v>
      </c>
      <c r="F35" s="1">
        <v>200</v>
      </c>
      <c r="G35" s="70"/>
      <c r="H35" s="185">
        <f t="shared" ref="H35:H36" si="3">F35*E35</f>
        <v>22000</v>
      </c>
      <c r="J35" s="165" t="s">
        <v>108</v>
      </c>
      <c r="K35" s="166">
        <v>0.08</v>
      </c>
      <c r="L35" s="167">
        <f ca="1">J24*K35</f>
        <v>2121.92</v>
      </c>
      <c r="M35" s="1"/>
    </row>
    <row r="36" spans="1:13" ht="18" thickBot="1" x14ac:dyDescent="0.35">
      <c r="A36" s="182" t="s">
        <v>78</v>
      </c>
      <c r="B36" s="182"/>
      <c r="C36" s="1"/>
      <c r="D36" s="60" t="s">
        <v>73</v>
      </c>
      <c r="E36" s="5">
        <v>16</v>
      </c>
      <c r="F36" s="1">
        <v>200</v>
      </c>
      <c r="G36" s="70"/>
      <c r="H36" s="185">
        <f t="shared" si="3"/>
        <v>3200</v>
      </c>
      <c r="J36" s="168" t="s">
        <v>3</v>
      </c>
      <c r="K36" s="169">
        <f>SUM(K33:K35)</f>
        <v>0.99999999999999989</v>
      </c>
      <c r="L36" s="160">
        <f ca="1">SUM(L33:L35)</f>
        <v>26524</v>
      </c>
      <c r="M36" s="1"/>
    </row>
    <row r="37" spans="1:13" ht="17.25" x14ac:dyDescent="0.3">
      <c r="A37" s="182" t="s">
        <v>118</v>
      </c>
      <c r="B37" s="182"/>
      <c r="D37" s="60" t="s">
        <v>73</v>
      </c>
      <c r="E37" s="5">
        <v>10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 t="s">
        <v>121</v>
      </c>
      <c r="B38" s="182"/>
      <c r="D38" s="60" t="s">
        <v>73</v>
      </c>
      <c r="E38" s="5">
        <v>12</v>
      </c>
      <c r="F38" s="1">
        <v>0</v>
      </c>
      <c r="G38" s="1"/>
      <c r="H38" s="185">
        <f>F38*E38</f>
        <v>0</v>
      </c>
      <c r="J38" s="322" t="s">
        <v>174</v>
      </c>
      <c r="K38" s="323">
        <v>0.3</v>
      </c>
      <c r="M38" s="1"/>
    </row>
    <row r="39" spans="1:13" ht="17.25" x14ac:dyDescent="0.3">
      <c r="J39" s="324" t="s">
        <v>175</v>
      </c>
      <c r="K39" s="325">
        <f ca="1">H26</f>
        <v>26524</v>
      </c>
      <c r="M39" s="1"/>
    </row>
    <row r="40" spans="1:13" ht="18.75" thickBot="1" x14ac:dyDescent="0.35">
      <c r="A40" s="73"/>
      <c r="C40" s="73"/>
      <c r="D40" s="73"/>
      <c r="F40" s="91" t="s">
        <v>115</v>
      </c>
      <c r="G40" s="73"/>
      <c r="H40" s="184">
        <f>H33</f>
        <v>25200</v>
      </c>
      <c r="J40" s="326" t="s">
        <v>176</v>
      </c>
      <c r="K40" s="327">
        <f ca="1">K39*K38</f>
        <v>7957.2</v>
      </c>
      <c r="M40" s="1"/>
    </row>
    <row r="41" spans="1:13" ht="21.75" thickBot="1" x14ac:dyDescent="0.4">
      <c r="A41" s="73"/>
      <c r="B41" s="73"/>
      <c r="C41" s="73"/>
      <c r="E41" s="133"/>
      <c r="F41" s="91" t="s">
        <v>75</v>
      </c>
      <c r="G41" s="74">
        <v>0</v>
      </c>
      <c r="H41" s="4"/>
      <c r="J41" s="329" t="s">
        <v>177</v>
      </c>
      <c r="K41" s="328">
        <f ca="1">K39+K40</f>
        <v>34481.199999999997</v>
      </c>
      <c r="L41" t="s">
        <v>178</v>
      </c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25200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88</v>
      </c>
      <c r="J47" s="153" t="s">
        <v>94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95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134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96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97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101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132</v>
      </c>
      <c r="E52" s="60"/>
      <c r="F52" s="60"/>
      <c r="G52" s="3"/>
      <c r="H52" s="60"/>
      <c r="J52" s="118" t="s">
        <v>98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99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100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309">
        <f>H53</f>
        <v>1200000</v>
      </c>
      <c r="F55" s="310"/>
      <c r="G55" s="310"/>
      <c r="H55" s="311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85</v>
      </c>
      <c r="B56" s="201"/>
      <c r="C56" s="201"/>
      <c r="D56" s="201"/>
      <c r="E56" s="312" t="s">
        <v>135</v>
      </c>
      <c r="F56" s="312"/>
      <c r="G56" s="312"/>
      <c r="H56" s="312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122193.97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68364.87569999999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190558.84570000001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190558.84570000001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120</v>
      </c>
      <c r="G66" s="123" t="s">
        <v>66</v>
      </c>
      <c r="H66" s="112" t="s">
        <v>119</v>
      </c>
    </row>
    <row r="67" spans="1:11" ht="17.25" x14ac:dyDescent="0.3">
      <c r="A67" s="84" t="s">
        <v>127</v>
      </c>
      <c r="B67" s="124" t="s">
        <v>131</v>
      </c>
      <c r="C67" s="124"/>
      <c r="D67" s="124"/>
      <c r="E67" s="109">
        <v>0.02</v>
      </c>
      <c r="F67" s="83">
        <f>$E$64*E67</f>
        <v>3811.1769140000001</v>
      </c>
      <c r="G67" s="109">
        <v>0.3</v>
      </c>
      <c r="H67" s="110">
        <f>IF(G67=0,F67,F67-(F67*G67))</f>
        <v>2667.8238398000003</v>
      </c>
    </row>
    <row r="68" spans="1:11" ht="17.25" x14ac:dyDescent="0.3">
      <c r="A68" s="88" t="s">
        <v>126</v>
      </c>
      <c r="B68" s="3" t="s">
        <v>129</v>
      </c>
      <c r="C68" s="3"/>
      <c r="D68" s="3"/>
      <c r="E68" s="212">
        <v>0.15</v>
      </c>
      <c r="F68" s="5">
        <f t="shared" ref="F68:F73" si="5">$E$64*E68</f>
        <v>28583.826854999999</v>
      </c>
      <c r="G68" s="212">
        <v>0.3</v>
      </c>
      <c r="H68" s="87">
        <f t="shared" ref="H68:H73" si="6">IF(G68=0,F68,F68-(F68*G68))</f>
        <v>20008.678798499997</v>
      </c>
    </row>
    <row r="69" spans="1:11" ht="17.25" x14ac:dyDescent="0.3">
      <c r="A69" s="88" t="s">
        <v>125</v>
      </c>
      <c r="B69" s="3" t="s">
        <v>128</v>
      </c>
      <c r="C69" s="3"/>
      <c r="D69" s="3"/>
      <c r="E69" s="212">
        <v>0.2</v>
      </c>
      <c r="F69" s="5">
        <f t="shared" si="5"/>
        <v>38111.769140000004</v>
      </c>
      <c r="G69" s="212">
        <v>0.3</v>
      </c>
      <c r="H69" s="87">
        <f t="shared" si="6"/>
        <v>26678.238398000001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19055.884570000002</v>
      </c>
      <c r="G70" s="212">
        <v>0.2</v>
      </c>
      <c r="H70" s="87">
        <f t="shared" si="6"/>
        <v>15244.707656000002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38111.769140000004</v>
      </c>
      <c r="G71" s="212">
        <v>0.2</v>
      </c>
      <c r="H71" s="87">
        <f>IF(G71=0,F71,F71-(F71*G71))</f>
        <v>30489.415312000005</v>
      </c>
      <c r="J71" s="216"/>
    </row>
    <row r="72" spans="1:11" ht="17.25" x14ac:dyDescent="0.3">
      <c r="A72" s="88" t="s">
        <v>50</v>
      </c>
      <c r="B72" s="3" t="s">
        <v>130</v>
      </c>
      <c r="C72" s="3"/>
      <c r="D72" s="3"/>
      <c r="E72" s="212">
        <v>0.3</v>
      </c>
      <c r="F72" s="5">
        <f t="shared" si="5"/>
        <v>57167.653709999999</v>
      </c>
      <c r="G72" s="212">
        <v>0</v>
      </c>
      <c r="H72" s="87">
        <f>IF(G72=0,F72,F72-(F72*G72))</f>
        <v>57167.653709999999</v>
      </c>
      <c r="J72" s="216"/>
    </row>
    <row r="73" spans="1:11" ht="18" thickBot="1" x14ac:dyDescent="0.35">
      <c r="A73" s="89" t="s">
        <v>124</v>
      </c>
      <c r="B73" s="125" t="s">
        <v>123</v>
      </c>
      <c r="C73" s="125"/>
      <c r="D73" s="125"/>
      <c r="E73" s="111">
        <v>0.03</v>
      </c>
      <c r="F73" s="85">
        <f t="shared" si="5"/>
        <v>5716.7653709999995</v>
      </c>
      <c r="G73" s="111">
        <v>0</v>
      </c>
      <c r="H73" s="86">
        <f t="shared" si="6"/>
        <v>5716.7653709999995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6" t="s">
        <v>91</v>
      </c>
      <c r="F75" s="307"/>
      <c r="G75" s="308"/>
      <c r="H75" s="117">
        <f>H76*(1-(SUM(H67:H73)/H76))</f>
        <v>32585.562614700008</v>
      </c>
    </row>
    <row r="76" spans="1:11" ht="19.5" thickBot="1" x14ac:dyDescent="0.35">
      <c r="B76" s="113"/>
      <c r="C76" s="113"/>
      <c r="E76" s="306" t="s">
        <v>53</v>
      </c>
      <c r="F76" s="307"/>
      <c r="G76" s="308"/>
      <c r="H76" s="117">
        <f>SUM(F67:F73)</f>
        <v>190558.84570000001</v>
      </c>
    </row>
    <row r="77" spans="1:11" ht="15.75" thickBot="1" x14ac:dyDescent="0.3"/>
    <row r="78" spans="1:11" ht="18.75" thickBot="1" x14ac:dyDescent="0.3">
      <c r="E78" s="313" t="s">
        <v>116</v>
      </c>
      <c r="F78" s="314"/>
      <c r="G78" s="315"/>
      <c r="H78" s="114">
        <f>H76-H75</f>
        <v>157973.28308530001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305"/>
      <c r="E81" s="305"/>
    </row>
    <row r="83" spans="4:13" x14ac:dyDescent="0.25">
      <c r="D83" s="305"/>
      <c r="E83" s="305"/>
      <c r="M83" s="159"/>
    </row>
    <row r="85" spans="4:13" x14ac:dyDescent="0.25">
      <c r="D85" s="305"/>
      <c r="E85" s="305"/>
      <c r="F85" s="305"/>
      <c r="G85" s="305"/>
    </row>
    <row r="86" spans="4:13" x14ac:dyDescent="0.25">
      <c r="D86" s="305"/>
      <c r="E86" s="305"/>
      <c r="F86" s="305"/>
      <c r="G86" s="305"/>
    </row>
    <row r="87" spans="4:13" x14ac:dyDescent="0.25">
      <c r="D87" s="305"/>
      <c r="E87" s="305"/>
      <c r="F87" s="305"/>
      <c r="G87" s="305"/>
    </row>
    <row r="88" spans="4:13" x14ac:dyDescent="0.25">
      <c r="D88" s="305"/>
      <c r="E88" s="305"/>
      <c r="F88" s="305"/>
      <c r="G88" s="305"/>
    </row>
    <row r="89" spans="4:13" x14ac:dyDescent="0.25">
      <c r="D89" s="305"/>
      <c r="E89" s="305"/>
      <c r="F89" s="305"/>
      <c r="G89" s="305"/>
    </row>
    <row r="90" spans="4:13" x14ac:dyDescent="0.25">
      <c r="D90" s="305"/>
      <c r="E90" s="305"/>
      <c r="F90" s="305"/>
      <c r="G90" s="305"/>
    </row>
    <row r="91" spans="4:13" x14ac:dyDescent="0.25">
      <c r="D91" s="305"/>
      <c r="E91" s="305"/>
      <c r="F91" s="305"/>
      <c r="G91" s="305"/>
    </row>
    <row r="92" spans="4:13" x14ac:dyDescent="0.25">
      <c r="D92" s="305"/>
      <c r="E92" s="305"/>
      <c r="F92" s="305"/>
      <c r="G92" s="305"/>
    </row>
    <row r="94" spans="4:13" ht="22.5" customHeight="1" x14ac:dyDescent="0.25">
      <c r="D94" s="305"/>
      <c r="E94" s="305"/>
      <c r="F94" s="305"/>
      <c r="G94" s="305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305"/>
      <c r="E107" s="305"/>
    </row>
    <row r="108" spans="4:14" x14ac:dyDescent="0.25">
      <c r="D108" s="305"/>
      <c r="E108" s="305"/>
    </row>
    <row r="109" spans="4:14" x14ac:dyDescent="0.25">
      <c r="D109" s="305"/>
      <c r="E109" s="305"/>
    </row>
  </sheetData>
  <mergeCells count="35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8" t="s">
        <v>44</v>
      </c>
      <c r="C13" s="31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6" t="s">
        <v>53</v>
      </c>
      <c r="O14" s="31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0" t="s">
        <v>18</v>
      </c>
      <c r="C24" s="320"/>
      <c r="D24" s="320"/>
      <c r="E24" s="320"/>
      <c r="F24" s="320"/>
      <c r="G24" s="320"/>
    </row>
    <row r="25" spans="2:12" x14ac:dyDescent="0.3">
      <c r="B25" s="321" t="s">
        <v>19</v>
      </c>
      <c r="C25" s="321" t="s">
        <v>20</v>
      </c>
      <c r="D25" s="321"/>
      <c r="E25" s="321" t="s">
        <v>21</v>
      </c>
      <c r="F25" s="321" t="s">
        <v>22</v>
      </c>
      <c r="G25" s="321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1"/>
      <c r="C26" s="10"/>
      <c r="D26" s="10"/>
      <c r="E26" s="321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1"/>
      <c r="C27" s="10" t="s">
        <v>23</v>
      </c>
      <c r="D27" s="10" t="s">
        <v>24</v>
      </c>
      <c r="E27" s="321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2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2025-07-02T09:39:22Z</dcterms:modified>
</cp:coreProperties>
</file>