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2 - Erf 100_Newton Park - Werner\"/>
    </mc:Choice>
  </mc:AlternateContent>
  <xr:revisionPtr revIDLastSave="0" documentId="13_ncr:1_{CB7714CF-B89D-48F8-885D-6C3EF5431D32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H36" i="3"/>
  <c r="H37" i="3"/>
  <c r="H38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19" i="3"/>
  <c r="G20" i="3"/>
  <c r="G21" i="3"/>
  <c r="G22" i="3"/>
  <c r="G16" i="3"/>
  <c r="G23" i="3"/>
  <c r="G17" i="3" l="1"/>
  <c r="G53" i="3" l="1"/>
  <c r="C14" i="2" l="1"/>
  <c r="C15" i="2" s="1"/>
  <c r="H35" i="3"/>
  <c r="H34" i="3"/>
  <c r="H40" i="3" s="1"/>
  <c r="H41" i="3" s="1"/>
  <c r="H42" i="3" s="1"/>
  <c r="K63" i="2"/>
  <c r="K36" i="3"/>
  <c r="M54" i="3"/>
  <c r="M53" i="3"/>
  <c r="M52" i="3"/>
  <c r="M51" i="3"/>
  <c r="M50" i="3"/>
  <c r="M49" i="3"/>
  <c r="M48" i="3"/>
  <c r="M47" i="3"/>
  <c r="L63" i="2" l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0" i="3" l="1"/>
  <c r="H20" i="3" s="1"/>
  <c r="E21" i="3"/>
  <c r="H21" i="3" s="1"/>
  <c r="H17" i="3"/>
  <c r="E19" i="3"/>
  <c r="H19" i="3" s="1"/>
  <c r="E16" i="3"/>
  <c r="H16" i="3" s="1"/>
  <c r="F5" i="2"/>
  <c r="G5" i="2" s="1"/>
  <c r="H5" i="2" s="1"/>
  <c r="E18" i="3"/>
  <c r="H18" i="3" s="1"/>
  <c r="H15" i="3" l="1"/>
  <c r="H24" i="3" s="1"/>
  <c r="H25" i="3" s="1"/>
  <c r="H26" i="3" s="1"/>
  <c r="J24" i="3" l="1"/>
  <c r="L34" i="3" s="1"/>
  <c r="M19" i="3"/>
  <c r="L35" i="3" l="1"/>
  <c r="L33" i="3"/>
  <c r="K24" i="3"/>
  <c r="L24" i="3" s="1"/>
  <c r="N24" i="3" s="1"/>
  <c r="M24" i="3" s="1"/>
  <c r="M26" i="3" s="1"/>
  <c r="M28" i="3" s="1"/>
  <c r="L36" i="3" l="1"/>
</calcChain>
</file>

<file path=xl/sharedStrings.xml><?xml version="1.0" encoding="utf-8"?>
<sst xmlns="http://schemas.openxmlformats.org/spreadsheetml/2006/main" count="267" uniqueCount="172">
  <si>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</si>
  <si>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</si>
  <si>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</si>
  <si>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</si>
  <si>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</si>
  <si>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</si>
  <si>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</si>
  <si>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</si>
  <si>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</si>
  <si>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</si>
  <si>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</si>
  <si>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</si>
  <si>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</si>
  <si>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</si>
  <si>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</si>
  <si>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</si>
  <si>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</si>
  <si>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</si>
  <si>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</si>
  <si>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</si>
  <si>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</si>
  <si>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</si>
  <si>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</si>
  <si>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</si>
  <si>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</si>
  <si>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</si>
  <si>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</si>
  <si>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</si>
  <si>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</si>
  <si>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</si>
  <si>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</si>
  <si>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</si>
  <si>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</si>
  <si>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</si>
  <si>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</si>
  <si>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</si>
  <si>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</si>
  <si>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</si>
  <si>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</si>
  <si>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</si>
  <si>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</si>
  <si>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</si>
  <si>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</si>
  <si>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</si>
  <si>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</si>
  <si>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</si>
  <si>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</si>
  <si>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</si>
  <si>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</si>
  <si>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</si>
  <si>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</si>
  <si>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</si>
  <si>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</si>
  <si>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</si>
  <si>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</si>
  <si>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</si>
  <si>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</si>
  <si>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</si>
  <si>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</si>
  <si>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</si>
  <si>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</si>
  <si>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</si>
  <si>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</si>
  <si>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</si>
  <si>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</si>
  <si>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</si>
  <si>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</si>
  <si>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</si>
  <si>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</si>
  <si>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</si>
  <si>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</si>
  <si>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</si>
  <si>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</si>
  <si>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</si>
  <si>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</si>
  <si>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</si>
  <si>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</si>
  <si>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</si>
  <si>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</si>
  <si>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</si>
  <si>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</si>
  <si>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</si>
  <si>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</si>
  <si>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</si>
  <si>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</si>
  <si>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</si>
  <si>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</si>
  <si>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</si>
  <si>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</si>
  <si>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</si>
  <si>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</si>
  <si>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</si>
  <si>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</si>
  <si>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</si>
  <si>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</si>
  <si>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</si>
  <si>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</si>
  <si>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</si>
  <si>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</si>
  <si>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</si>
  <si>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</si>
  <si>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</si>
  <si>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</si>
  <si>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</si>
  <si>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</si>
  <si>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</si>
  <si>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</si>
  <si>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</si>
  <si>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</si>
  <si>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</si>
  <si>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</si>
  <si>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</si>
  <si>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</si>
  <si>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</si>
  <si>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</si>
  <si>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</si>
  <si>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</si>
  <si>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</si>
  <si>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</si>
  <si>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</si>
  <si>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</si>
  <si>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</si>
  <si>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</si>
  <si>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</si>
  <si>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</si>
  <si>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</si>
  <si>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</si>
  <si>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</si>
  <si>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</si>
  <si>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</si>
  <si>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</si>
  <si>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</si>
  <si>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</si>
  <si>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</si>
  <si>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</si>
  <si>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</si>
  <si>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</si>
  <si>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</si>
  <si>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</si>
  <si>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</si>
  <si>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</si>
  <si>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</si>
  <si>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</si>
  <si>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</si>
  <si>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</si>
  <si>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</si>
  <si>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</si>
  <si>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</si>
  <si>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</si>
  <si>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</si>
  <si>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</si>
  <si>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</si>
  <si>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</si>
  <si>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</si>
  <si>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</si>
  <si>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</si>
  <si>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</si>
  <si>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</si>
  <si>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</si>
  <si>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</si>
  <si>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</si>
  <si>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</si>
  <si>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</si>
  <si>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</si>
  <si>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</si>
  <si>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</si>
  <si>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</si>
  <si>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</si>
  <si>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Municipal Drawings (SDP)</t>
  </si>
  <si>
    <t>Alterations (Roof)</t>
  </si>
  <si>
    <t>SDP Running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</si>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</sst>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0" fillId="9" borderId="48" xfId="0" applyFill="1" applyBorder="1"/>
    <xf numFmtId="0" fontId="5" fillId="9" borderId="23" xfId="0" applyFont="1" applyFill="1" applyBorder="1" applyAlignment="1">
      <alignment horizontal="right" vertical="center"/>
    </xf>
    <xf numFmtId="0" fontId="5" fillId="9" borderId="23" xfId="0" applyFont="1" applyFill="1" applyBorder="1" applyAlignment="1">
      <alignment vertical="center"/>
    </xf>
    <xf numFmtId="44" fontId="4" fillId="9" borderId="4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4"/>
      <c r="B1" s="284"/>
      <c r="C1" s="284"/>
      <c r="D1" s="284"/>
      <c r="E1" s="284"/>
      <c r="F1" s="284"/>
      <c r="G1" s="284"/>
      <c r="H1" s="284"/>
      <c r="I1" s="284"/>
      <c r="J1" s="284"/>
    </row>
    <row r="2" spans="1:11" x14ac:dyDescent="0.3">
      <c r="A2" s="284"/>
      <c r="B2" s="284"/>
      <c r="C2" s="284"/>
      <c r="D2" s="284"/>
      <c r="E2" s="284"/>
      <c r="F2" s="284"/>
      <c r="G2" s="284"/>
      <c r="H2" s="284"/>
      <c r="I2" s="284"/>
      <c r="J2" s="284"/>
    </row>
    <row r="3" spans="1:11" x14ac:dyDescent="0.3">
      <c r="A3" s="284"/>
      <c r="B3" s="284"/>
      <c r="C3" s="284"/>
      <c r="D3" s="284"/>
      <c r="E3" s="284"/>
      <c r="F3" s="284"/>
      <c r="G3" s="284"/>
      <c r="H3" s="284"/>
      <c r="I3" s="284"/>
      <c r="J3" s="284"/>
    </row>
    <row r="4" spans="1:11" x14ac:dyDescent="0.3">
      <c r="A4" s="284"/>
      <c r="B4" s="284"/>
      <c r="C4" s="284"/>
      <c r="D4" s="284"/>
      <c r="E4" s="284"/>
      <c r="F4" s="284"/>
      <c r="G4" s="284"/>
      <c r="H4" s="284"/>
      <c r="I4" s="284"/>
      <c r="J4" s="284"/>
    </row>
    <row r="5" spans="1:11" x14ac:dyDescent="0.3">
      <c r="A5" s="284"/>
      <c r="B5" s="284"/>
      <c r="C5" s="284"/>
      <c r="D5" s="284"/>
      <c r="E5" s="284"/>
      <c r="F5" s="284"/>
      <c r="G5" s="284"/>
      <c r="H5" s="284"/>
      <c r="I5" s="284"/>
      <c r="J5" s="284"/>
    </row>
    <row r="6" spans="1:11" x14ac:dyDescent="0.3">
      <c r="A6" s="284"/>
      <c r="B6" s="284"/>
      <c r="C6" s="284"/>
      <c r="D6" s="284"/>
      <c r="E6" s="284"/>
      <c r="F6" s="284"/>
      <c r="G6" s="284"/>
      <c r="H6" s="284"/>
      <c r="I6" s="284"/>
      <c r="J6" s="284"/>
    </row>
    <row r="7" spans="1:11" x14ac:dyDescent="0.3">
      <c r="A7" s="284"/>
      <c r="B7" s="284"/>
      <c r="C7" s="284"/>
      <c r="D7" s="284"/>
      <c r="E7" s="284"/>
      <c r="F7" s="284"/>
      <c r="G7" s="284"/>
      <c r="H7" s="284"/>
      <c r="I7" s="284"/>
      <c r="J7" s="284"/>
    </row>
    <row r="8" spans="1:11" x14ac:dyDescent="0.3">
      <c r="A8" s="284"/>
      <c r="B8" s="284"/>
      <c r="C8" s="284"/>
      <c r="D8" s="284"/>
      <c r="E8" s="284"/>
      <c r="F8" s="284"/>
      <c r="G8" s="284"/>
      <c r="H8" s="284"/>
      <c r="I8" s="284"/>
      <c r="J8" s="284"/>
    </row>
    <row r="9" spans="1:11" x14ac:dyDescent="0.3">
      <c r="A9" s="284"/>
      <c r="B9" s="284"/>
      <c r="C9" s="284"/>
      <c r="D9" s="284"/>
      <c r="E9" s="284"/>
      <c r="F9" s="284"/>
      <c r="G9" s="284"/>
      <c r="H9" s="284"/>
      <c r="I9" s="284"/>
      <c r="J9" s="284"/>
    </row>
    <row r="10" spans="1:11" x14ac:dyDescent="0.3">
      <c r="A10" s="284"/>
      <c r="B10" s="284"/>
      <c r="C10" s="284"/>
      <c r="D10" s="284"/>
      <c r="E10" s="284"/>
      <c r="F10" s="284"/>
      <c r="G10" s="284"/>
      <c r="H10" s="284"/>
      <c r="I10" s="284"/>
      <c r="J10" s="284"/>
    </row>
    <row r="11" spans="1:11" ht="21" thickBot="1" x14ac:dyDescent="0.35">
      <c r="A11" s="282" t="s">
        <v>5</v>
      </c>
      <c r="B11" s="283"/>
      <c r="C11" s="283"/>
      <c r="D11" s="283"/>
      <c r="E11" s="283"/>
      <c r="F11" s="283"/>
      <c r="G11" s="283"/>
      <c r="H11" s="283"/>
      <c r="I11" s="283"/>
      <c r="J11" s="283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116</v>
      </c>
      <c r="E12" s="288" t="s">
        <v>9</v>
      </c>
      <c r="F12" s="292"/>
      <c r="G12" s="289"/>
      <c r="H12" s="288" t="s">
        <v>4</v>
      </c>
      <c r="I12" s="289"/>
      <c r="J12" s="222" t="s">
        <v>132</v>
      </c>
    </row>
    <row r="13" spans="1:11" x14ac:dyDescent="0.3">
      <c r="A13" s="218">
        <v>1</v>
      </c>
      <c r="B13" s="228" t="s">
        <v>133</v>
      </c>
      <c r="C13" s="111" t="s">
        <v>2</v>
      </c>
      <c r="D13" s="220">
        <v>40000</v>
      </c>
      <c r="E13" s="290">
        <v>0.1</v>
      </c>
      <c r="F13" s="290"/>
      <c r="G13" s="220">
        <f>D13*E13</f>
        <v>4000</v>
      </c>
      <c r="H13" s="287">
        <f>D13+G13</f>
        <v>44000</v>
      </c>
      <c r="I13" s="287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1">
        <v>0.1</v>
      </c>
      <c r="F14" s="291"/>
      <c r="G14" s="220">
        <f>D14*E14</f>
        <v>2400</v>
      </c>
      <c r="H14" s="285">
        <f>D14+G14</f>
        <v>26400</v>
      </c>
      <c r="I14" s="285"/>
      <c r="J14" s="111">
        <v>1</v>
      </c>
    </row>
    <row r="15" spans="1:11" x14ac:dyDescent="0.3">
      <c r="A15" s="218"/>
      <c r="B15" s="111"/>
      <c r="C15" s="111"/>
      <c r="D15" s="219"/>
      <c r="E15" s="295"/>
      <c r="F15" s="295"/>
      <c r="G15" s="220"/>
      <c r="H15" s="285"/>
      <c r="I15" s="285"/>
      <c r="J15" s="111"/>
    </row>
    <row r="16" spans="1:11" x14ac:dyDescent="0.3">
      <c r="A16" s="4"/>
      <c r="E16" s="286"/>
      <c r="F16" s="286"/>
      <c r="H16" s="286"/>
      <c r="I16" s="286"/>
      <c r="K16"/>
    </row>
    <row r="17" spans="1:15" ht="21" thickBot="1" x14ac:dyDescent="0.35">
      <c r="A17" s="298" t="s">
        <v>6</v>
      </c>
      <c r="B17" s="298"/>
      <c r="C17" s="298"/>
      <c r="D17" s="298"/>
      <c r="E17" s="298"/>
      <c r="F17" s="298"/>
      <c r="G17" s="298"/>
      <c r="H17" s="298"/>
      <c r="I17" s="298"/>
      <c r="J17" s="298"/>
      <c r="K17"/>
    </row>
    <row r="18" spans="1:15" ht="18" thickBot="1" x14ac:dyDescent="0.35">
      <c r="A18" s="221" t="s">
        <v>88</v>
      </c>
      <c r="B18" s="225" t="s">
        <v>7</v>
      </c>
      <c r="C18" s="299" t="s">
        <v>10</v>
      </c>
      <c r="D18" s="300"/>
      <c r="E18" s="296" t="s">
        <v>8</v>
      </c>
      <c r="F18" s="297"/>
      <c r="G18" s="302" t="s">
        <v>11</v>
      </c>
      <c r="H18" s="303"/>
      <c r="I18" s="303"/>
      <c r="J18" s="303"/>
      <c r="K18"/>
    </row>
    <row r="19" spans="1:15" x14ac:dyDescent="0.3">
      <c r="A19" s="218">
        <v>1</v>
      </c>
      <c r="B19" s="227">
        <v>21</v>
      </c>
      <c r="C19" s="301">
        <f>D45</f>
        <v>6240.323166666667</v>
      </c>
      <c r="D19" s="301"/>
      <c r="E19" s="293">
        <v>8</v>
      </c>
      <c r="F19" s="293"/>
      <c r="G19" s="304">
        <f>ROUNDUP(C19/E19,-0.1)</f>
        <v>781</v>
      </c>
      <c r="H19" s="304"/>
      <c r="I19" s="304"/>
      <c r="J19" s="304"/>
      <c r="K19" s="111"/>
    </row>
    <row r="20" spans="1:15" x14ac:dyDescent="0.3">
      <c r="A20" s="218">
        <v>2</v>
      </c>
      <c r="B20" s="227">
        <v>21</v>
      </c>
      <c r="C20" s="295">
        <f ca="1">J45</f>
        <v>5167.8</v>
      </c>
      <c r="D20" s="295"/>
      <c r="E20" s="294">
        <v>8</v>
      </c>
      <c r="F20" s="294"/>
      <c r="G20" s="305">
        <f ca="1">ROUNDUP(C20/E20,-1)</f>
        <v>650</v>
      </c>
      <c r="H20" s="305"/>
      <c r="I20" s="305"/>
      <c r="J20" s="305"/>
      <c r="K20" s="111"/>
    </row>
    <row r="21" spans="1:15" x14ac:dyDescent="0.3">
      <c r="A21" s="4"/>
      <c r="E21" s="286"/>
      <c r="F21" s="286"/>
      <c r="K21"/>
    </row>
    <row r="22" spans="1:15" ht="21" thickBot="1" x14ac:dyDescent="0.35">
      <c r="A22" s="282" t="s">
        <v>134</v>
      </c>
      <c r="B22" s="283"/>
      <c r="C22" s="283"/>
      <c r="D22" s="283"/>
      <c r="E22" s="283"/>
      <c r="F22" s="283"/>
      <c r="G22" s="283"/>
      <c r="H22" s="283"/>
      <c r="I22" s="283"/>
      <c r="J22" s="283"/>
      <c r="K22"/>
    </row>
    <row r="23" spans="1:15" ht="18" thickBot="1" x14ac:dyDescent="0.35">
      <c r="A23" s="221"/>
      <c r="B23" s="240" t="s">
        <v>135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136</v>
      </c>
      <c r="C24" s="14"/>
      <c r="D24" s="248">
        <v>9510</v>
      </c>
      <c r="E24" s="249"/>
      <c r="F24" s="241">
        <v>1</v>
      </c>
      <c r="G24" s="1" t="s">
        <v>164</v>
      </c>
      <c r="I24" s="258">
        <v>1</v>
      </c>
      <c r="J24" s="250">
        <f ca="1">SUMIF($L$33:$O$42,G24,$O$33:$O$42)*$I$24</f>
        <v>750</v>
      </c>
      <c r="L24" s="1" t="s">
        <v>153</v>
      </c>
    </row>
    <row r="25" spans="1:15" x14ac:dyDescent="0.3">
      <c r="A25" s="4">
        <v>2</v>
      </c>
      <c r="B25" s="1" t="s">
        <v>137</v>
      </c>
      <c r="D25" s="212">
        <v>1000</v>
      </c>
      <c r="E25" s="250"/>
      <c r="F25" s="241">
        <v>2</v>
      </c>
      <c r="G25" s="1" t="s">
        <v>165</v>
      </c>
      <c r="I25" s="258">
        <v>1</v>
      </c>
      <c r="J25" s="250">
        <f ca="1">SUMIF($L$33:$O$43,G25,$O$33:$O$43)*$I$25</f>
        <v>350</v>
      </c>
      <c r="L25" s="230" t="s">
        <v>154</v>
      </c>
      <c r="M25" s="245" t="s">
        <v>155</v>
      </c>
      <c r="N25" s="231" t="s">
        <v>4</v>
      </c>
      <c r="O25" s="246" t="s">
        <v>156</v>
      </c>
    </row>
    <row r="26" spans="1:15" x14ac:dyDescent="0.3">
      <c r="A26" s="4">
        <v>3</v>
      </c>
      <c r="B26" s="1" t="s">
        <v>139</v>
      </c>
      <c r="D26" s="212">
        <v>3830</v>
      </c>
      <c r="E26" s="250"/>
      <c r="F26" s="241">
        <v>3</v>
      </c>
      <c r="G26" s="1" t="s">
        <v>136</v>
      </c>
      <c r="I26" s="258">
        <v>0.3</v>
      </c>
      <c r="J26" s="250">
        <f ca="1">SUMIF($B$24:$D$36,G26,$D$24:$D$36)*I26</f>
        <v>2853</v>
      </c>
      <c r="L26" s="173" t="s">
        <v>161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140</v>
      </c>
      <c r="D27" s="212">
        <v>600</v>
      </c>
      <c r="E27" s="250"/>
      <c r="F27" s="241">
        <v>4</v>
      </c>
      <c r="G27" s="1" t="s">
        <v>137</v>
      </c>
      <c r="I27" s="258">
        <v>0.3</v>
      </c>
      <c r="J27" s="250">
        <f ca="1">SUMIF($B$24:$D$36,G27,$D$24:$D$36)*I27</f>
        <v>300</v>
      </c>
      <c r="L27" s="75" t="s">
        <v>157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141</v>
      </c>
      <c r="D28" s="212">
        <v>770</v>
      </c>
      <c r="E28" s="250"/>
      <c r="F28" s="241">
        <v>5</v>
      </c>
      <c r="G28" s="1" t="s">
        <v>140</v>
      </c>
      <c r="I28" s="258">
        <v>0.3</v>
      </c>
      <c r="J28" s="250">
        <f ca="1">SUMIF($B$24:$D$36,G28,$D$24:$D$36)*I28</f>
        <v>180</v>
      </c>
      <c r="L28" s="75" t="s">
        <v>158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142</v>
      </c>
      <c r="D29" s="212">
        <f>700*4*2</f>
        <v>5600</v>
      </c>
      <c r="E29" s="250"/>
      <c r="F29" s="241">
        <v>6</v>
      </c>
      <c r="G29" s="1" t="s">
        <v>141</v>
      </c>
      <c r="I29" s="258">
        <v>0.3</v>
      </c>
      <c r="J29" s="250">
        <f ca="1">SUMIF($B$24:$D$36,G29,$D$24:$D$36)*I29</f>
        <v>231</v>
      </c>
      <c r="L29" s="177" t="s">
        <v>159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143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144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145</v>
      </c>
      <c r="D32" s="212">
        <f>O43*2</f>
        <v>700</v>
      </c>
      <c r="E32" s="250"/>
      <c r="J32" s="176"/>
      <c r="L32" s="1" t="s">
        <v>160</v>
      </c>
    </row>
    <row r="33" spans="1:15" x14ac:dyDescent="0.3">
      <c r="A33" s="4">
        <v>10</v>
      </c>
      <c r="B33" s="1" t="s">
        <v>146</v>
      </c>
      <c r="D33" s="212">
        <f>10000/12</f>
        <v>833.33333333333337</v>
      </c>
      <c r="E33" s="250"/>
      <c r="J33" s="176"/>
      <c r="L33" s="173" t="s">
        <v>161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147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148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138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164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166</v>
      </c>
      <c r="D38" s="212">
        <f>SUM(D24:D36)</f>
        <v>30343.333333333332</v>
      </c>
      <c r="E38" s="212"/>
      <c r="G38" s="69" t="s">
        <v>166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149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149</v>
      </c>
      <c r="H39" s="237"/>
      <c r="I39" s="259">
        <v>15.5</v>
      </c>
      <c r="J39" s="260">
        <f ca="1">SUM(J38)*(1+I39)</f>
        <v>76956</v>
      </c>
      <c r="L39" s="1" t="s">
        <v>163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145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150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162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167</v>
      </c>
      <c r="C43" s="6"/>
      <c r="D43" s="253">
        <f>D39+D41</f>
        <v>124806.46333333333</v>
      </c>
      <c r="E43" s="254"/>
      <c r="F43" s="212"/>
      <c r="G43" s="232" t="s">
        <v>167</v>
      </c>
      <c r="H43" s="6"/>
      <c r="I43" s="6"/>
      <c r="J43" s="253">
        <f ca="1">J39+J41</f>
        <v>103356</v>
      </c>
      <c r="L43" s="230" t="s">
        <v>165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151</v>
      </c>
      <c r="C45" s="6"/>
      <c r="D45" s="255">
        <f>D43/4/5</f>
        <v>6240.323166666667</v>
      </c>
      <c r="E45" s="212"/>
      <c r="F45" s="93"/>
      <c r="G45" s="233" t="s">
        <v>151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152</v>
      </c>
      <c r="C46" s="238"/>
      <c r="D46" s="256">
        <f>D45/8</f>
        <v>780.04039583333338</v>
      </c>
      <c r="E46" s="212"/>
      <c r="G46" s="87" t="s">
        <v>152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zoomScaleNormal="100" workbookViewId="0">
      <selection activeCell="K9" sqref="K9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32" t="s">
        <v>76</v>
      </c>
      <c r="B15" s="333"/>
      <c r="C15" s="71"/>
      <c r="D15" s="71"/>
      <c r="E15" s="71"/>
      <c r="F15" s="74">
        <f>SUM(F16:F29)</f>
        <v>77</v>
      </c>
      <c r="G15" s="215">
        <f>SUM(G16:G22)</f>
        <v>9.625</v>
      </c>
      <c r="H15" s="184">
        <f ca="1">SUM(H16:H22)</f>
        <v>54373</v>
      </c>
      <c r="I15" s="1"/>
      <c r="J15" s="317" t="s">
        <v>71</v>
      </c>
      <c r="K15" s="318"/>
      <c r="L15" s="319"/>
      <c r="M15" s="150">
        <f>G15</f>
        <v>9.625</v>
      </c>
    </row>
    <row r="16" spans="1:13" ht="17.25" x14ac:dyDescent="0.3">
      <c r="A16" s="180" t="s">
        <v>42</v>
      </c>
      <c r="B16" s="323"/>
      <c r="C16" s="323"/>
      <c r="D16" s="60" t="s">
        <v>73</v>
      </c>
      <c r="E16" s="60">
        <f>IF(D16="Dewald", Employees!$G$19,IF(D16="Hannes",Employees!$G$19,IF(D16="Johan",Employees!$G$20,"")))</f>
        <v>781</v>
      </c>
      <c r="F16" s="3">
        <v>8</v>
      </c>
      <c r="G16" s="181">
        <f t="shared" ref="G16:G22" si="0">IF(F16="","",F16/8)</f>
        <v>1</v>
      </c>
      <c r="H16" s="182">
        <f t="shared" ref="H16:H21" si="1">IF(E16="","",F16*E16)</f>
        <v>6248</v>
      </c>
      <c r="I16" s="1"/>
      <c r="M16" s="3"/>
    </row>
    <row r="17" spans="1:14" ht="17.25" x14ac:dyDescent="0.3">
      <c r="A17" s="278" t="s">
        <v>168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25</v>
      </c>
      <c r="G17" s="181">
        <f t="shared" si="0"/>
        <v>3.125</v>
      </c>
      <c r="H17" s="182">
        <f t="shared" si="1"/>
        <v>19525</v>
      </c>
      <c r="I17" s="1"/>
      <c r="M17" s="3"/>
    </row>
    <row r="18" spans="1:14" ht="18" thickBot="1" x14ac:dyDescent="0.35">
      <c r="A18" s="278" t="s">
        <v>170</v>
      </c>
      <c r="B18" s="1"/>
      <c r="C18" s="1"/>
      <c r="D18" s="60" t="s">
        <v>171</v>
      </c>
      <c r="E18" s="60">
        <f ca="1">IF(D18="Dewald", Employees!$G$19,IF(D18="Hannes",Employees!$G$19,IF(D18="Johan",Employees!$G$20,"")))</f>
        <v>650</v>
      </c>
      <c r="F18" s="3">
        <v>16</v>
      </c>
      <c r="G18" s="181">
        <f t="shared" si="0"/>
        <v>2</v>
      </c>
      <c r="H18" s="182">
        <f t="shared" ca="1" si="1"/>
        <v>10400</v>
      </c>
      <c r="I18" s="1"/>
      <c r="M18" s="3"/>
    </row>
    <row r="19" spans="1:14" ht="18" thickBot="1" x14ac:dyDescent="0.35">
      <c r="A19" s="278" t="s">
        <v>169</v>
      </c>
      <c r="B19" s="1"/>
      <c r="C19" s="1"/>
      <c r="D19" s="60" t="s">
        <v>171</v>
      </c>
      <c r="E19" s="60">
        <f ca="1">IF(D19="Dewald", Employees!$G$19,IF(D19="Hannes",Employees!$G$19,IF(D19="Johan",Employees!$G$20,"")))</f>
        <v>650</v>
      </c>
      <c r="F19" s="3">
        <v>8</v>
      </c>
      <c r="G19" s="181">
        <f t="shared" si="0"/>
        <v>1</v>
      </c>
      <c r="H19" s="182">
        <f ca="1">IF(E19="","",F19*E19)</f>
        <v>5200</v>
      </c>
      <c r="I19" s="1"/>
      <c r="J19" s="320" t="s">
        <v>74</v>
      </c>
      <c r="K19" s="321"/>
      <c r="L19" s="322"/>
      <c r="M19" s="103">
        <f ca="1">H26/M15</f>
        <v>5084.2285714285708</v>
      </c>
    </row>
    <row r="20" spans="1:14" ht="17.25" x14ac:dyDescent="0.3">
      <c r="A20" s="278" t="s">
        <v>113</v>
      </c>
      <c r="D20" s="60" t="s">
        <v>171</v>
      </c>
      <c r="E20" s="60">
        <f ca="1">IF(D20="Dewald", Employees!$G$19,IF(D20="Hannes",Employees!$G$19,IF(D20="Johan",Employees!$G$20,"")))</f>
        <v>650</v>
      </c>
      <c r="F20" s="3">
        <v>16</v>
      </c>
      <c r="G20" s="181">
        <f t="shared" si="0"/>
        <v>2</v>
      </c>
      <c r="H20" s="182">
        <f t="shared" ca="1" si="1"/>
        <v>10400</v>
      </c>
      <c r="I20" s="1"/>
      <c r="M20" s="94"/>
    </row>
    <row r="21" spans="1:14" ht="17.25" x14ac:dyDescent="0.3">
      <c r="A21" s="180" t="s">
        <v>77</v>
      </c>
      <c r="D21" s="60" t="s">
        <v>171</v>
      </c>
      <c r="E21" s="60">
        <f ca="1">IF(D21="Dewald", Employees!$G$19,IF(D21="Hannes",Employees!$G$19,IF(D21="Johan",Employees!$G$20,"")))</f>
        <v>650</v>
      </c>
      <c r="F21" s="3">
        <v>4</v>
      </c>
      <c r="G21" s="181">
        <f t="shared" si="0"/>
        <v>0.5</v>
      </c>
      <c r="H21" s="182">
        <f t="shared" ca="1" si="1"/>
        <v>2600</v>
      </c>
      <c r="I21" s="1"/>
      <c r="M21" s="94"/>
    </row>
    <row r="22" spans="1:14" ht="18" thickBot="1" x14ac:dyDescent="0.35">
      <c r="A22" s="1"/>
      <c r="B22" s="1"/>
      <c r="D22" s="60"/>
      <c r="E22" s="60"/>
      <c r="F22" s="3"/>
      <c r="G22" s="181" t="str">
        <f t="shared" si="0"/>
        <v/>
      </c>
      <c r="H22" s="182"/>
      <c r="I22" s="1"/>
    </row>
    <row r="23" spans="1:14" ht="18" thickBot="1" x14ac:dyDescent="0.35">
      <c r="G23" s="181" t="str">
        <f t="shared" ref="G23" si="2">IF(F23="","",F23/8)</f>
        <v/>
      </c>
      <c r="H23" s="157"/>
      <c r="I23" s="1"/>
      <c r="J23" s="98" t="s">
        <v>89</v>
      </c>
      <c r="K23" s="100" t="s">
        <v>83</v>
      </c>
      <c r="L23" s="101" t="s">
        <v>78</v>
      </c>
      <c r="M23" s="102" t="s">
        <v>81</v>
      </c>
      <c r="N23" s="99" t="s">
        <v>79</v>
      </c>
    </row>
    <row r="24" spans="1:14" ht="18" x14ac:dyDescent="0.3">
      <c r="A24" s="73"/>
      <c r="B24" s="73"/>
      <c r="D24" s="89"/>
      <c r="E24" s="262"/>
      <c r="F24" s="263" t="s">
        <v>114</v>
      </c>
      <c r="G24" s="264"/>
      <c r="H24" s="265">
        <f ca="1">H15</f>
        <v>54373</v>
      </c>
      <c r="I24" s="1"/>
      <c r="J24" s="104">
        <f ca="1">H26</f>
        <v>48935.7</v>
      </c>
      <c r="K24" s="60">
        <f ca="1">J24*0.05</f>
        <v>2446.7849999999999</v>
      </c>
      <c r="L24" s="60">
        <f ca="1">J24-K24</f>
        <v>46488.914999999994</v>
      </c>
      <c r="M24" s="104">
        <f ca="1">L24-N24</f>
        <v>27118.533749999995</v>
      </c>
      <c r="N24" s="106">
        <f ca="1">L24/2.4</f>
        <v>19370.381249999999</v>
      </c>
    </row>
    <row r="25" spans="1:14" ht="18.75" thickBot="1" x14ac:dyDescent="0.35">
      <c r="A25" s="73"/>
      <c r="B25" s="73"/>
      <c r="C25" s="73"/>
      <c r="F25" s="281" t="s">
        <v>75</v>
      </c>
      <c r="G25" s="280">
        <v>0.1</v>
      </c>
      <c r="H25" s="247">
        <f ca="1">H24*G25</f>
        <v>5437.3</v>
      </c>
      <c r="I25" s="1"/>
      <c r="M25" s="94"/>
    </row>
    <row r="26" spans="1:14" ht="19.5" thickBot="1" x14ac:dyDescent="0.35">
      <c r="A26" s="1"/>
      <c r="B26" s="1"/>
      <c r="C26" s="1"/>
      <c r="D26" s="1"/>
      <c r="F26" s="132" t="s">
        <v>67</v>
      </c>
      <c r="G26" s="133"/>
      <c r="H26" s="183">
        <f ca="1">(H24-H25)</f>
        <v>48935.7</v>
      </c>
      <c r="I26" s="1"/>
      <c r="J26" s="97" t="s">
        <v>80</v>
      </c>
      <c r="K26" s="92"/>
      <c r="L26" s="92"/>
      <c r="M26" s="105">
        <f ca="1">M24*0.15</f>
        <v>4067.7800624999991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6"/>
      <c r="B28" s="76"/>
      <c r="C28" s="76"/>
      <c r="D28" s="76"/>
      <c r="E28" s="76"/>
      <c r="F28" s="76"/>
      <c r="G28" s="76"/>
      <c r="H28" s="76"/>
      <c r="I28" s="1"/>
      <c r="J28" s="96" t="s">
        <v>82</v>
      </c>
      <c r="K28" s="92"/>
      <c r="L28" s="92"/>
      <c r="M28" s="105">
        <f ca="1">M24-M26</f>
        <v>23050.753687499997</v>
      </c>
    </row>
    <row r="29" spans="1:14" ht="18" thickBot="1" x14ac:dyDescent="0.35">
      <c r="H29" s="157"/>
      <c r="I29" s="1"/>
    </row>
    <row r="30" spans="1:14" ht="19.5" thickBot="1" x14ac:dyDescent="0.35">
      <c r="A30" s="191" t="s">
        <v>69</v>
      </c>
      <c r="B30" s="145"/>
      <c r="C30" s="146"/>
      <c r="D30" s="1"/>
      <c r="E30" s="3"/>
      <c r="F30" s="1"/>
      <c r="G30" s="1"/>
      <c r="H30" s="1"/>
      <c r="I30" s="1"/>
      <c r="J30" s="1"/>
      <c r="K30" s="91"/>
      <c r="M30" s="94"/>
    </row>
    <row r="31" spans="1:14" ht="18" thickBot="1" x14ac:dyDescent="0.35">
      <c r="A31" s="128" t="s">
        <v>59</v>
      </c>
      <c r="B31" s="119"/>
      <c r="C31" s="119"/>
      <c r="D31" s="119"/>
      <c r="E31" s="119"/>
      <c r="F31" s="119"/>
      <c r="G31" s="196"/>
      <c r="H31" s="120"/>
    </row>
    <row r="32" spans="1:14" ht="18" thickBot="1" x14ac:dyDescent="0.35">
      <c r="I32" s="1"/>
      <c r="J32" s="159" t="s">
        <v>108</v>
      </c>
      <c r="K32" s="159" t="s">
        <v>109</v>
      </c>
      <c r="L32" s="159" t="s">
        <v>110</v>
      </c>
      <c r="M32" s="60"/>
    </row>
    <row r="33" spans="1:13" ht="18" thickBot="1" x14ac:dyDescent="0.35">
      <c r="A33" s="147" t="s">
        <v>76</v>
      </c>
      <c r="B33" s="148"/>
      <c r="C33" s="71"/>
      <c r="D33" s="119" t="s">
        <v>61</v>
      </c>
      <c r="E33" s="119" t="s">
        <v>68</v>
      </c>
      <c r="F33" s="119" t="s">
        <v>70</v>
      </c>
      <c r="G33" s="195"/>
      <c r="H33" s="184"/>
      <c r="I33" s="1"/>
      <c r="J33" s="160" t="s">
        <v>105</v>
      </c>
      <c r="K33" s="161">
        <v>0.6</v>
      </c>
      <c r="L33" s="162">
        <f ca="1">J24*K33</f>
        <v>29361.42</v>
      </c>
    </row>
    <row r="34" spans="1:13" ht="17.25" x14ac:dyDescent="0.3">
      <c r="A34" s="277" t="s">
        <v>42</v>
      </c>
      <c r="B34" s="180"/>
      <c r="C34" s="1"/>
      <c r="D34" s="60" t="s">
        <v>73</v>
      </c>
      <c r="E34" s="5">
        <v>40</v>
      </c>
      <c r="F34" s="1">
        <v>205</v>
      </c>
      <c r="G34" s="70"/>
      <c r="H34" s="274">
        <f>F34*E34</f>
        <v>8200</v>
      </c>
      <c r="I34" s="1"/>
      <c r="J34" s="160" t="s">
        <v>106</v>
      </c>
      <c r="K34" s="161">
        <v>0.32</v>
      </c>
      <c r="L34" s="162">
        <f ca="1">J24*K34</f>
        <v>15659.423999999999</v>
      </c>
    </row>
    <row r="35" spans="1:13" ht="18" thickBot="1" x14ac:dyDescent="0.35">
      <c r="A35" s="278" t="s">
        <v>168</v>
      </c>
      <c r="B35" s="180"/>
      <c r="C35" s="1"/>
      <c r="D35" s="60" t="s">
        <v>73</v>
      </c>
      <c r="E35" s="5">
        <v>100</v>
      </c>
      <c r="F35" s="1">
        <v>205</v>
      </c>
      <c r="G35" s="70"/>
      <c r="H35" s="275">
        <f t="shared" ref="H35:H36" si="3">F35*E35</f>
        <v>20500</v>
      </c>
      <c r="J35" s="163" t="s">
        <v>107</v>
      </c>
      <c r="K35" s="164">
        <v>0.08</v>
      </c>
      <c r="L35" s="165">
        <f ca="1">J24*K35</f>
        <v>3914.8559999999998</v>
      </c>
      <c r="M35" s="1"/>
    </row>
    <row r="36" spans="1:13" ht="18" thickBot="1" x14ac:dyDescent="0.35">
      <c r="A36" s="278" t="s">
        <v>170</v>
      </c>
      <c r="D36" s="60" t="s">
        <v>73</v>
      </c>
      <c r="E36" s="5">
        <v>50</v>
      </c>
      <c r="F36" s="1">
        <v>205</v>
      </c>
      <c r="H36" s="275">
        <f t="shared" si="3"/>
        <v>10250</v>
      </c>
      <c r="J36" s="166" t="s">
        <v>3</v>
      </c>
      <c r="K36" s="167">
        <f>SUM(K33:K35)</f>
        <v>0.99999999999999989</v>
      </c>
      <c r="L36" s="158">
        <f ca="1">SUM(L33:L35)</f>
        <v>48935.7</v>
      </c>
      <c r="M36" s="1"/>
    </row>
    <row r="37" spans="1:13" ht="17.25" x14ac:dyDescent="0.3">
      <c r="A37" s="278" t="s">
        <v>169</v>
      </c>
      <c r="D37" s="60" t="s">
        <v>73</v>
      </c>
      <c r="E37" s="5">
        <v>80</v>
      </c>
      <c r="F37" s="1">
        <v>65</v>
      </c>
      <c r="H37" s="275">
        <f>F37*E37</f>
        <v>5200</v>
      </c>
      <c r="M37" s="1"/>
    </row>
    <row r="38" spans="1:13" ht="17.25" x14ac:dyDescent="0.3">
      <c r="A38" s="278" t="s">
        <v>113</v>
      </c>
      <c r="D38" s="60" t="s">
        <v>73</v>
      </c>
      <c r="E38" s="5">
        <v>50</v>
      </c>
      <c r="F38" s="1">
        <v>205</v>
      </c>
      <c r="G38" s="70"/>
      <c r="H38" s="275">
        <f t="shared" ref="H38" si="4">F38*E38</f>
        <v>10250</v>
      </c>
      <c r="M38" s="1"/>
    </row>
    <row r="39" spans="1:13" ht="17.25" x14ac:dyDescent="0.3">
      <c r="A39" s="279" t="s">
        <v>77</v>
      </c>
      <c r="B39" s="270"/>
      <c r="C39" s="178"/>
      <c r="D39" s="271" t="s">
        <v>73</v>
      </c>
      <c r="E39" s="272">
        <v>12</v>
      </c>
      <c r="F39" s="178">
        <v>150</v>
      </c>
      <c r="G39" s="273"/>
      <c r="H39" s="276">
        <v>2500</v>
      </c>
      <c r="M39" s="1"/>
    </row>
    <row r="40" spans="1:13" ht="18" x14ac:dyDescent="0.3">
      <c r="A40" s="73"/>
      <c r="C40" s="73"/>
      <c r="D40" s="73"/>
      <c r="E40" s="266"/>
      <c r="F40" s="267" t="s">
        <v>114</v>
      </c>
      <c r="G40" s="268"/>
      <c r="H40" s="269">
        <f>SUM(H34:H39)</f>
        <v>56900</v>
      </c>
      <c r="J40" s="157"/>
      <c r="M40" s="1"/>
    </row>
    <row r="41" spans="1:13" ht="18.75" thickBot="1" x14ac:dyDescent="0.35">
      <c r="A41" s="73"/>
      <c r="B41" s="73"/>
      <c r="C41" s="73"/>
      <c r="E41" s="131"/>
      <c r="F41" s="281" t="s">
        <v>75</v>
      </c>
      <c r="G41" s="280">
        <v>0.1</v>
      </c>
      <c r="H41" s="247">
        <f>H40*G41</f>
        <v>5690</v>
      </c>
      <c r="J41" s="157"/>
      <c r="M41" s="1"/>
    </row>
    <row r="42" spans="1:13" ht="19.5" thickBot="1" x14ac:dyDescent="0.35">
      <c r="A42" s="1"/>
      <c r="B42" s="1"/>
      <c r="C42" s="1"/>
      <c r="D42" s="1"/>
      <c r="E42" s="1"/>
      <c r="F42" s="132" t="s">
        <v>67</v>
      </c>
      <c r="G42" s="133"/>
      <c r="H42" s="183">
        <f>(H40-H41)</f>
        <v>51210</v>
      </c>
      <c r="L42" s="1"/>
      <c r="M42" s="91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6"/>
      <c r="B44" s="76"/>
      <c r="C44" s="76"/>
      <c r="D44" s="76"/>
      <c r="E44" s="76"/>
      <c r="F44" s="76"/>
      <c r="G44" s="76"/>
      <c r="H44" s="76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2" t="s">
        <v>65</v>
      </c>
      <c r="B46" s="193"/>
      <c r="C46" s="194"/>
      <c r="D46" s="1"/>
      <c r="E46" s="1"/>
      <c r="F46" s="1"/>
      <c r="G46" s="1"/>
      <c r="H46" s="1"/>
      <c r="J46" t="s">
        <v>101</v>
      </c>
      <c r="K46" t="s">
        <v>102</v>
      </c>
      <c r="L46" t="s">
        <v>103</v>
      </c>
      <c r="M46" t="s">
        <v>104</v>
      </c>
    </row>
    <row r="47" spans="1:13" ht="18" thickBot="1" x14ac:dyDescent="0.35">
      <c r="A47" s="128" t="s">
        <v>13</v>
      </c>
      <c r="B47" s="119"/>
      <c r="C47" s="119"/>
      <c r="D47" s="188"/>
      <c r="E47" s="189"/>
      <c r="F47" s="119" t="s">
        <v>68</v>
      </c>
      <c r="G47" s="189" t="s">
        <v>14</v>
      </c>
      <c r="H47" s="190" t="s">
        <v>87</v>
      </c>
      <c r="J47" s="151" t="s">
        <v>93</v>
      </c>
      <c r="K47" s="156">
        <v>20000</v>
      </c>
      <c r="L47" s="90">
        <v>1</v>
      </c>
      <c r="M47" s="153">
        <f t="shared" ref="M47:M54" si="5">K47*L47</f>
        <v>20000</v>
      </c>
    </row>
    <row r="48" spans="1:13" ht="17.25" x14ac:dyDescent="0.3">
      <c r="A48" s="14"/>
      <c r="B48" s="14"/>
      <c r="C48" s="14"/>
      <c r="D48" s="14"/>
      <c r="E48" s="149"/>
      <c r="F48" s="149"/>
      <c r="G48" s="122"/>
      <c r="H48" s="149"/>
      <c r="J48" s="116" t="s">
        <v>94</v>
      </c>
      <c r="K48" s="157">
        <v>3000</v>
      </c>
      <c r="L48">
        <v>4</v>
      </c>
      <c r="M48" s="154">
        <f t="shared" si="5"/>
        <v>12000</v>
      </c>
    </row>
    <row r="49" spans="1:13" ht="17.25" x14ac:dyDescent="0.3">
      <c r="A49" s="1" t="s">
        <v>130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6" t="s">
        <v>95</v>
      </c>
      <c r="K49" s="157">
        <v>5000</v>
      </c>
      <c r="L49">
        <v>2</v>
      </c>
      <c r="M49" s="154">
        <f t="shared" si="5"/>
        <v>10000</v>
      </c>
    </row>
    <row r="50" spans="1:13" ht="17.25" x14ac:dyDescent="0.3">
      <c r="A50" s="1"/>
      <c r="B50" s="61"/>
      <c r="F50" s="60"/>
      <c r="G50" s="3"/>
      <c r="H50" s="60"/>
      <c r="J50" s="116" t="s">
        <v>96</v>
      </c>
      <c r="K50" s="157">
        <v>8000</v>
      </c>
      <c r="L50">
        <v>1</v>
      </c>
      <c r="M50" s="154">
        <f t="shared" si="5"/>
        <v>8000</v>
      </c>
    </row>
    <row r="51" spans="1:13" ht="17.25" x14ac:dyDescent="0.3">
      <c r="A51" s="1"/>
      <c r="J51" s="116" t="s">
        <v>100</v>
      </c>
      <c r="K51" s="157">
        <v>5000</v>
      </c>
      <c r="L51">
        <v>1</v>
      </c>
      <c r="M51" s="154">
        <f t="shared" si="5"/>
        <v>5000</v>
      </c>
    </row>
    <row r="52" spans="1:13" ht="18" thickBot="1" x14ac:dyDescent="0.35">
      <c r="A52" s="1"/>
      <c r="B52" s="1"/>
      <c r="C52" s="1"/>
      <c r="D52" s="1" t="s">
        <v>129</v>
      </c>
      <c r="E52" s="60"/>
      <c r="F52" s="60"/>
      <c r="G52" s="3"/>
      <c r="H52" s="60"/>
      <c r="J52" s="116" t="s">
        <v>97</v>
      </c>
      <c r="K52" s="157">
        <v>2000</v>
      </c>
      <c r="L52">
        <v>1</v>
      </c>
      <c r="M52" s="154">
        <f t="shared" si="5"/>
        <v>2000</v>
      </c>
    </row>
    <row r="53" spans="1:13" ht="18" thickBot="1" x14ac:dyDescent="0.35">
      <c r="A53" s="1"/>
      <c r="B53" s="1"/>
      <c r="C53" s="1"/>
      <c r="D53" s="1"/>
      <c r="E53" s="118"/>
      <c r="F53" s="62" t="s">
        <v>3</v>
      </c>
      <c r="G53" s="63">
        <f>SUM(G48:G51)</f>
        <v>150</v>
      </c>
      <c r="H53" s="95">
        <f>SUM(H48:H52)</f>
        <v>1200000</v>
      </c>
      <c r="J53" s="116" t="s">
        <v>98</v>
      </c>
      <c r="K53" s="157">
        <v>7000</v>
      </c>
      <c r="L53">
        <v>1</v>
      </c>
      <c r="M53" s="154">
        <f t="shared" si="5"/>
        <v>7000</v>
      </c>
    </row>
    <row r="54" spans="1:13" ht="15.75" thickBot="1" x14ac:dyDescent="0.3">
      <c r="J54" s="116" t="s">
        <v>99</v>
      </c>
      <c r="K54" s="157">
        <v>15000</v>
      </c>
      <c r="L54">
        <v>1</v>
      </c>
      <c r="M54" s="154">
        <f t="shared" si="5"/>
        <v>15000</v>
      </c>
    </row>
    <row r="55" spans="1:13" ht="19.5" thickBot="1" x14ac:dyDescent="0.35">
      <c r="A55" s="202" t="s">
        <v>35</v>
      </c>
      <c r="B55" s="197"/>
      <c r="C55" s="197"/>
      <c r="D55" s="197"/>
      <c r="E55" s="313">
        <f>H53</f>
        <v>1200000</v>
      </c>
      <c r="F55" s="314"/>
      <c r="G55" s="314"/>
      <c r="H55" s="315"/>
      <c r="I55" s="1"/>
      <c r="J55" s="152"/>
      <c r="K55" s="117"/>
      <c r="L55" s="117"/>
      <c r="M55" s="155">
        <f>SUM(M47:M54)</f>
        <v>79000</v>
      </c>
    </row>
    <row r="56" spans="1:13" ht="18.75" x14ac:dyDescent="0.3">
      <c r="A56" s="199" t="s">
        <v>84</v>
      </c>
      <c r="B56" s="198"/>
      <c r="C56" s="198"/>
      <c r="D56" s="198"/>
      <c r="E56" s="316" t="s">
        <v>131</v>
      </c>
      <c r="F56" s="316"/>
      <c r="G56" s="316"/>
      <c r="H56" s="316"/>
    </row>
    <row r="57" spans="1:13" ht="15.75" thickBot="1" x14ac:dyDescent="0.3"/>
    <row r="58" spans="1:13" ht="20.25" thickBot="1" x14ac:dyDescent="0.3">
      <c r="A58" s="201" t="s">
        <v>44</v>
      </c>
      <c r="B58" s="59"/>
      <c r="C58" s="59"/>
      <c r="D58" s="59"/>
      <c r="E58" s="59"/>
      <c r="F58" s="59"/>
      <c r="G58" s="59"/>
      <c r="H58" s="127"/>
    </row>
    <row r="60" spans="1:13" ht="17.25" x14ac:dyDescent="0.25">
      <c r="A60" s="124" t="s">
        <v>21</v>
      </c>
      <c r="B60" s="125"/>
      <c r="C60" s="125"/>
      <c r="D60" s="126"/>
      <c r="E60" s="204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122193.97</v>
      </c>
      <c r="F60" s="129"/>
      <c r="G60" s="129"/>
      <c r="H60" s="130"/>
    </row>
    <row r="61" spans="1:13" ht="17.25" x14ac:dyDescent="0.25">
      <c r="A61" s="134" t="s">
        <v>49</v>
      </c>
      <c r="B61" s="61"/>
      <c r="C61" s="61"/>
      <c r="D61" s="135"/>
      <c r="E61" s="205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68364.87569999999</v>
      </c>
      <c r="F61" s="77"/>
      <c r="G61" s="77"/>
      <c r="H61" s="139"/>
    </row>
    <row r="62" spans="1:13" ht="17.25" x14ac:dyDescent="0.25">
      <c r="A62" s="134"/>
      <c r="B62" s="61"/>
      <c r="C62" s="61"/>
      <c r="D62" s="135"/>
      <c r="E62" s="205">
        <f>E60+E61</f>
        <v>190558.84570000001</v>
      </c>
      <c r="F62" s="77"/>
      <c r="G62" s="77"/>
      <c r="H62" s="139"/>
    </row>
    <row r="63" spans="1:13" ht="17.25" x14ac:dyDescent="0.25">
      <c r="A63" s="134" t="s">
        <v>52</v>
      </c>
      <c r="B63" s="61"/>
      <c r="C63" s="61"/>
      <c r="D63" s="135"/>
      <c r="E63" s="206">
        <v>0</v>
      </c>
      <c r="F63" s="4"/>
      <c r="G63" s="4"/>
      <c r="H63" s="142"/>
    </row>
    <row r="64" spans="1:13" ht="18" x14ac:dyDescent="0.25">
      <c r="A64" s="136" t="s">
        <v>54</v>
      </c>
      <c r="B64" s="137"/>
      <c r="C64" s="137"/>
      <c r="D64" s="138"/>
      <c r="E64" s="207">
        <f>E62+E63</f>
        <v>190558.84570000001</v>
      </c>
      <c r="F64" s="140"/>
      <c r="G64" s="140"/>
      <c r="H64" s="141"/>
    </row>
    <row r="65" spans="1:11" ht="15.75" thickBot="1" x14ac:dyDescent="0.3"/>
    <row r="66" spans="1:11" ht="19.5" thickBot="1" x14ac:dyDescent="0.35">
      <c r="A66" s="203" t="s">
        <v>36</v>
      </c>
      <c r="B66" s="143"/>
      <c r="C66" s="143"/>
      <c r="D66" s="144"/>
      <c r="E66" s="110" t="s">
        <v>37</v>
      </c>
      <c r="F66" s="110" t="s">
        <v>118</v>
      </c>
      <c r="G66" s="121" t="s">
        <v>66</v>
      </c>
      <c r="H66" s="110" t="s">
        <v>117</v>
      </c>
    </row>
    <row r="67" spans="1:11" ht="17.25" x14ac:dyDescent="0.3">
      <c r="A67" s="82" t="s">
        <v>124</v>
      </c>
      <c r="B67" s="122" t="s">
        <v>128</v>
      </c>
      <c r="C67" s="122"/>
      <c r="D67" s="122"/>
      <c r="E67" s="107">
        <v>0.02</v>
      </c>
      <c r="F67" s="81">
        <f>$E$64*E67</f>
        <v>3811.1769140000001</v>
      </c>
      <c r="G67" s="107">
        <v>0.3</v>
      </c>
      <c r="H67" s="108">
        <f>IF(G67=0,F67,F67-(F67*G67))</f>
        <v>2667.8238398000003</v>
      </c>
    </row>
    <row r="68" spans="1:11" ht="17.25" x14ac:dyDescent="0.3">
      <c r="A68" s="86" t="s">
        <v>123</v>
      </c>
      <c r="B68" s="3" t="s">
        <v>126</v>
      </c>
      <c r="C68" s="3"/>
      <c r="D68" s="3"/>
      <c r="E68" s="209">
        <v>0.15</v>
      </c>
      <c r="F68" s="5">
        <f t="shared" ref="F68:F73" si="6">$E$64*E68</f>
        <v>28583.826854999999</v>
      </c>
      <c r="G68" s="209">
        <v>0.3</v>
      </c>
      <c r="H68" s="85">
        <f t="shared" ref="H68:H73" si="7">IF(G68=0,F68,F68-(F68*G68))</f>
        <v>20008.678798499997</v>
      </c>
    </row>
    <row r="69" spans="1:11" ht="17.25" x14ac:dyDescent="0.3">
      <c r="A69" s="86" t="s">
        <v>122</v>
      </c>
      <c r="B69" s="3" t="s">
        <v>125</v>
      </c>
      <c r="C69" s="3"/>
      <c r="D69" s="3"/>
      <c r="E69" s="209">
        <v>0.2</v>
      </c>
      <c r="F69" s="5">
        <f t="shared" si="6"/>
        <v>38111.769140000004</v>
      </c>
      <c r="G69" s="209">
        <v>0.3</v>
      </c>
      <c r="H69" s="85">
        <f t="shared" si="7"/>
        <v>26678.238398000001</v>
      </c>
      <c r="J69" s="213"/>
    </row>
    <row r="70" spans="1:11" ht="17.25" x14ac:dyDescent="0.3">
      <c r="A70" s="86" t="s">
        <v>45</v>
      </c>
      <c r="B70" s="3" t="s">
        <v>46</v>
      </c>
      <c r="C70" s="3"/>
      <c r="D70" s="3"/>
      <c r="E70" s="209">
        <v>0.1</v>
      </c>
      <c r="F70" s="5">
        <f t="shared" si="6"/>
        <v>19055.884570000002</v>
      </c>
      <c r="G70" s="209">
        <v>0.2</v>
      </c>
      <c r="H70" s="85">
        <f t="shared" si="7"/>
        <v>15244.707656000002</v>
      </c>
      <c r="J70" s="213"/>
    </row>
    <row r="71" spans="1:11" ht="17.25" x14ac:dyDescent="0.3">
      <c r="A71" s="86" t="s">
        <v>57</v>
      </c>
      <c r="B71" s="3" t="s">
        <v>47</v>
      </c>
      <c r="C71" s="3"/>
      <c r="D71" s="3"/>
      <c r="E71" s="209">
        <v>0.2</v>
      </c>
      <c r="F71" s="5">
        <f t="shared" si="6"/>
        <v>38111.769140000004</v>
      </c>
      <c r="G71" s="209">
        <v>0.2</v>
      </c>
      <c r="H71" s="85">
        <f>IF(G71=0,F71,F71-(F71*G71))</f>
        <v>30489.415312000005</v>
      </c>
      <c r="J71" s="213"/>
    </row>
    <row r="72" spans="1:11" ht="17.25" x14ac:dyDescent="0.3">
      <c r="A72" s="86" t="s">
        <v>50</v>
      </c>
      <c r="B72" s="3" t="s">
        <v>127</v>
      </c>
      <c r="C72" s="3"/>
      <c r="D72" s="3"/>
      <c r="E72" s="209">
        <v>0.3</v>
      </c>
      <c r="F72" s="5">
        <f t="shared" si="6"/>
        <v>57167.653709999999</v>
      </c>
      <c r="G72" s="209">
        <v>0</v>
      </c>
      <c r="H72" s="85">
        <f>IF(G72=0,F72,F72-(F72*G72))</f>
        <v>57167.653709999999</v>
      </c>
      <c r="J72" s="213"/>
    </row>
    <row r="73" spans="1:11" ht="18" thickBot="1" x14ac:dyDescent="0.35">
      <c r="A73" s="87" t="s">
        <v>121</v>
      </c>
      <c r="B73" s="123" t="s">
        <v>120</v>
      </c>
      <c r="C73" s="123"/>
      <c r="D73" s="123"/>
      <c r="E73" s="109">
        <v>0.03</v>
      </c>
      <c r="F73" s="83">
        <f t="shared" si="6"/>
        <v>5716.7653709999995</v>
      </c>
      <c r="G73" s="109">
        <v>0</v>
      </c>
      <c r="H73" s="84">
        <f t="shared" si="7"/>
        <v>5716.7653709999995</v>
      </c>
      <c r="J73" s="214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6" t="s">
        <v>90</v>
      </c>
      <c r="F75" s="307"/>
      <c r="G75" s="308"/>
      <c r="H75" s="115">
        <f>H76*(1-(SUM(H67:H73)/H76))</f>
        <v>32585.562614700008</v>
      </c>
    </row>
    <row r="76" spans="1:11" ht="19.5" thickBot="1" x14ac:dyDescent="0.35">
      <c r="B76" s="111"/>
      <c r="C76" s="111"/>
      <c r="E76" s="306" t="s">
        <v>53</v>
      </c>
      <c r="F76" s="307"/>
      <c r="G76" s="308"/>
      <c r="H76" s="115">
        <f>SUM(F67:F73)</f>
        <v>190558.84570000001</v>
      </c>
    </row>
    <row r="77" spans="1:11" ht="15.75" thickBot="1" x14ac:dyDescent="0.3"/>
    <row r="78" spans="1:11" ht="18.75" thickBot="1" x14ac:dyDescent="0.3">
      <c r="E78" s="309" t="s">
        <v>115</v>
      </c>
      <c r="F78" s="310"/>
      <c r="G78" s="311"/>
      <c r="H78" s="112">
        <f>H76-H75</f>
        <v>157973.28308530001</v>
      </c>
    </row>
    <row r="79" spans="1:11" ht="17.25" x14ac:dyDescent="0.3">
      <c r="A79" s="1"/>
      <c r="B79" s="208"/>
      <c r="C79" s="185"/>
      <c r="D79" s="185"/>
      <c r="E79" s="60"/>
      <c r="F79" s="168"/>
      <c r="G79" s="4"/>
      <c r="H79" s="77"/>
    </row>
    <row r="80" spans="1:11" x14ac:dyDescent="0.25">
      <c r="K80" s="91"/>
    </row>
    <row r="81" spans="4:13" x14ac:dyDescent="0.25">
      <c r="D81" s="312"/>
      <c r="E81" s="312"/>
    </row>
    <row r="83" spans="4:13" x14ac:dyDescent="0.25">
      <c r="D83" s="312"/>
      <c r="E83" s="312"/>
      <c r="M83" s="157"/>
    </row>
    <row r="85" spans="4:13" x14ac:dyDescent="0.25">
      <c r="D85" s="312"/>
      <c r="E85" s="312"/>
      <c r="F85" s="312"/>
      <c r="G85" s="312"/>
    </row>
    <row r="86" spans="4:13" x14ac:dyDescent="0.25">
      <c r="D86" s="312"/>
      <c r="E86" s="312"/>
      <c r="F86" s="312"/>
      <c r="G86" s="312"/>
    </row>
    <row r="87" spans="4:13" x14ac:dyDescent="0.25">
      <c r="D87" s="312"/>
      <c r="E87" s="312"/>
      <c r="F87" s="312"/>
      <c r="G87" s="312"/>
    </row>
    <row r="88" spans="4:13" x14ac:dyDescent="0.25">
      <c r="D88" s="312"/>
      <c r="E88" s="312"/>
      <c r="F88" s="312"/>
      <c r="G88" s="312"/>
    </row>
    <row r="89" spans="4:13" x14ac:dyDescent="0.25">
      <c r="D89" s="312"/>
      <c r="E89" s="312"/>
      <c r="F89" s="312"/>
      <c r="G89" s="312"/>
    </row>
    <row r="90" spans="4:13" x14ac:dyDescent="0.25">
      <c r="D90" s="312"/>
      <c r="E90" s="312"/>
      <c r="F90" s="312"/>
      <c r="G90" s="312"/>
    </row>
    <row r="91" spans="4:13" x14ac:dyDescent="0.25">
      <c r="D91" s="312"/>
      <c r="E91" s="312"/>
      <c r="F91" s="312"/>
      <c r="G91" s="312"/>
    </row>
    <row r="92" spans="4:13" x14ac:dyDescent="0.25">
      <c r="D92" s="312"/>
      <c r="E92" s="312"/>
      <c r="F92" s="312"/>
      <c r="G92" s="312"/>
    </row>
    <row r="94" spans="4:13" ht="22.5" customHeight="1" x14ac:dyDescent="0.25">
      <c r="D94" s="312"/>
      <c r="E94" s="312"/>
      <c r="F94" s="312"/>
      <c r="G94" s="312"/>
    </row>
    <row r="96" spans="4:13" x14ac:dyDescent="0.25">
      <c r="J96" s="210"/>
      <c r="L96" s="157"/>
    </row>
    <row r="97" spans="4:14" x14ac:dyDescent="0.25">
      <c r="L97" s="210"/>
      <c r="M97" s="157"/>
    </row>
    <row r="99" spans="4:14" x14ac:dyDescent="0.25">
      <c r="M99" s="91"/>
    </row>
    <row r="102" spans="4:14" x14ac:dyDescent="0.25">
      <c r="N102" s="157"/>
    </row>
    <row r="105" spans="4:14" x14ac:dyDescent="0.25">
      <c r="K105" s="114"/>
    </row>
    <row r="106" spans="4:14" x14ac:dyDescent="0.25">
      <c r="K106" s="113"/>
    </row>
    <row r="107" spans="4:14" x14ac:dyDescent="0.25">
      <c r="D107" s="312"/>
      <c r="E107" s="312"/>
    </row>
    <row r="108" spans="4:14" x14ac:dyDescent="0.25">
      <c r="D108" s="312"/>
      <c r="E108" s="312"/>
    </row>
    <row r="109" spans="4:14" x14ac:dyDescent="0.25">
      <c r="D109" s="312"/>
      <c r="E109" s="312"/>
    </row>
  </sheetData>
  <mergeCells count="35">
    <mergeCell ref="J15:L15"/>
    <mergeCell ref="J19:L19"/>
    <mergeCell ref="B16:C16"/>
    <mergeCell ref="A11:H11"/>
    <mergeCell ref="A13:C13"/>
    <mergeCell ref="A14:C14"/>
    <mergeCell ref="A15:B15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9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119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6" t="s">
        <v>44</v>
      </c>
      <c r="C13" s="337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4" t="s">
        <v>53</v>
      </c>
      <c r="O14" s="335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8" t="s">
        <v>18</v>
      </c>
      <c r="C24" s="338"/>
      <c r="D24" s="338"/>
      <c r="E24" s="338"/>
      <c r="F24" s="338"/>
      <c r="G24" s="338"/>
    </row>
    <row r="25" spans="2:12" x14ac:dyDescent="0.3">
      <c r="B25" s="339" t="s">
        <v>19</v>
      </c>
      <c r="C25" s="339" t="s">
        <v>20</v>
      </c>
      <c r="D25" s="339"/>
      <c r="E25" s="339" t="s">
        <v>21</v>
      </c>
      <c r="F25" s="339" t="s">
        <v>22</v>
      </c>
      <c r="G25" s="339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9"/>
      <c r="C26" s="10"/>
      <c r="D26" s="10"/>
      <c r="E26" s="339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9"/>
      <c r="C27" s="10" t="s">
        <v>23</v>
      </c>
      <c r="D27" s="10" t="s">
        <v>24</v>
      </c>
      <c r="E27" s="339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9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2025-07-01T14:29:41Z</dcterms:modified>
</cp:coreProperties>
</file>