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Ebenezer International\"/>
    </mc:Choice>
  </mc:AlternateContent>
  <xr:revisionPtr revIDLastSave="0" documentId="13_ncr:1_{44C4D3F1-F49F-4CDA-8FB3-F67A27597F7E}" xr6:coauthVersionLast="47" xr6:coauthVersionMax="47" xr10:uidLastSave="{00000000-0000-0000-0000-000000000000}"/>
  <bookViews>
    <workbookView xWindow="-28920" yWindow="-120" windowWidth="29040" windowHeight="15840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3" l="1"/>
  <c r="G17" i="3"/>
  <c r="E17" i="3"/>
  <c r="K74" i="3"/>
  <c r="O26" i="1" l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G19" i="3" l="1"/>
  <c r="H50" i="3"/>
  <c r="G21" i="3"/>
  <c r="G22" i="3"/>
  <c r="G23" i="3"/>
  <c r="G16" i="3"/>
  <c r="G24" i="3"/>
  <c r="F20" i="3"/>
  <c r="G20" i="3" s="1"/>
  <c r="E20" i="3"/>
  <c r="H20" i="3" s="1"/>
  <c r="E21" i="3"/>
  <c r="H21" i="3" s="1"/>
  <c r="E22" i="3"/>
  <c r="G18" i="3" l="1"/>
  <c r="G54" i="3" l="1"/>
  <c r="H39" i="3"/>
  <c r="H38" i="3" l="1"/>
  <c r="C14" i="2"/>
  <c r="C15" i="2" s="1"/>
  <c r="H36" i="3"/>
  <c r="H37" i="3"/>
  <c r="H35" i="3"/>
  <c r="K63" i="2"/>
  <c r="K37" i="3"/>
  <c r="M55" i="3"/>
  <c r="M54" i="3"/>
  <c r="M53" i="3"/>
  <c r="M52" i="3"/>
  <c r="M51" i="3"/>
  <c r="M50" i="3"/>
  <c r="M49" i="3"/>
  <c r="M48" i="3"/>
  <c r="L63" i="2" l="1"/>
  <c r="H34" i="3"/>
  <c r="H41" i="3" s="1"/>
  <c r="H43" i="3" s="1"/>
  <c r="L64" i="2"/>
  <c r="H54" i="3"/>
  <c r="M56" i="3"/>
  <c r="L65" i="2" l="1"/>
  <c r="K64" i="2" s="1"/>
  <c r="E56" i="3"/>
  <c r="E5" i="2"/>
  <c r="E61" i="3" l="1"/>
  <c r="E62" i="3" s="1"/>
  <c r="J62" i="3"/>
  <c r="K62" i="3"/>
  <c r="K25" i="2"/>
  <c r="K44" i="2"/>
  <c r="E63" i="3" l="1"/>
  <c r="E65" i="3" s="1"/>
  <c r="F68" i="3"/>
  <c r="H68" i="3" s="1"/>
  <c r="F71" i="3"/>
  <c r="H71" i="3" s="1"/>
  <c r="F74" i="3"/>
  <c r="F72" i="3"/>
  <c r="F69" i="3"/>
  <c r="H69" i="3" s="1"/>
  <c r="F73" i="3"/>
  <c r="H73" i="3" s="1"/>
  <c r="F70" i="3"/>
  <c r="H70" i="3" s="1"/>
  <c r="L45" i="2"/>
  <c r="L44" i="2"/>
  <c r="L26" i="2"/>
  <c r="L25" i="2"/>
  <c r="C16" i="2"/>
  <c r="C18" i="2" s="1"/>
  <c r="H72" i="3" l="1"/>
  <c r="L67" i="3" s="1"/>
  <c r="L68" i="3" s="1"/>
  <c r="H77" i="3"/>
  <c r="H74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L73" i="3" l="1"/>
  <c r="L72" i="3"/>
  <c r="L70" i="3"/>
  <c r="L71" i="3"/>
  <c r="H76" i="3"/>
  <c r="H79" i="3" s="1"/>
  <c r="Q14" i="2"/>
  <c r="W9" i="2"/>
  <c r="S9" i="2" s="1"/>
  <c r="S15" i="2" s="1"/>
  <c r="F15" i="3" l="1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8" i="3" s="1"/>
  <c r="H18" i="3" s="1"/>
  <c r="E16" i="3" l="1"/>
  <c r="H16" i="3" s="1"/>
  <c r="F5" i="2"/>
  <c r="G5" i="2" s="1"/>
  <c r="H5" i="2" s="1"/>
  <c r="E19" i="3"/>
  <c r="H19" i="3" s="1"/>
  <c r="H15" i="3" l="1"/>
  <c r="H25" i="3" s="1"/>
  <c r="H26" i="3" s="1"/>
  <c r="H27" i="3" s="1"/>
  <c r="J25" i="3" s="1"/>
  <c r="M20" i="3" l="1"/>
  <c r="L35" i="3"/>
  <c r="K25" i="3"/>
  <c r="L25" i="3" s="1"/>
  <c r="N25" i="3" s="1"/>
  <c r="M25" i="3" s="1"/>
  <c r="M27" i="3" s="1"/>
  <c r="M29" i="3" s="1"/>
  <c r="L36" i="3"/>
  <c r="L34" i="3"/>
  <c r="L37" i="3" l="1"/>
</calcChain>
</file>

<file path=xl/sharedStrings.xml><?xml version="1.0" encoding="utf-8"?>
<sst xmlns="http://schemas.openxmlformats.org/spreadsheetml/2006/main" count="268" uniqueCount="178">
  <si>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</si>
  <si>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</si>
  <si>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</si>
  <si>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</si>
  <si>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</si>
  <si>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</si>
  <si>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</si>
  <si>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</si>
  <si>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</si>
  <si>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</si>
  <si>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</si>
  <si>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</si>
  <si>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</si>
  <si>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</si>
  <si>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</si>
  <si>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</si>
  <si>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</si>
  <si>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</si>
  <si>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</si>
  <si>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</si>
  <si>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</si>
  <si>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</si>
  <si>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</si>
  <si>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</si>
  <si>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</si>
  <si>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</si>
  <si>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</si>
  <si>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</si>
  <si>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</si>
  <si>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</si>
  <si>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</si>
  <si>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</si>
  <si>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</si>
  <si>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</si>
  <si>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</si>
  <si>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</si>
  <si>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</si>
  <si>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</si>
  <si>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</si>
  <si>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</si>
  <si>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</si>
  <si>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</si>
  <si>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</si>
  <si>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</si>
  <si>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</si>
  <si>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</si>
  <si>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</si>
  <si>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</si>
  <si>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</si>
  <si>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</si>
  <si>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</si>
  <si>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</si>
  <si>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</si>
  <si>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</si>
  <si>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</si>
  <si>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</si>
  <si>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</si>
  <si>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</si>
  <si>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</si>
  <si>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</si>
  <si>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</si>
  <si>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</si>
  <si>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</si>
  <si>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</si>
  <si>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</si>
  <si>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</si>
  <si>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</si>
  <si>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</si>
  <si>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</si>
  <si>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</si>
  <si>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</si>
  <si>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</si>
  <si>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</si>
  <si>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</si>
  <si>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</si>
  <si>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</si>
  <si>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</si>
  <si>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</si>
  <si>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</si>
  <si>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</si>
  <si>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</si>
  <si>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</si>
  <si>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</si>
  <si>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</si>
  <si>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</si>
  <si>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</si>
  <si>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</si>
  <si>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</si>
  <si>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</si>
  <si>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</si>
  <si>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</si>
  <si>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</si>
  <si>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</si>
  <si>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</si>
  <si>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</si>
  <si>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</si>
  <si>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</si>
  <si>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</si>
  <si>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</si>
  <si>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</si>
  <si>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</si>
  <si>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</si>
  <si>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</si>
  <si>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</si>
  <si>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</si>
  <si>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</si>
  <si>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</si>
  <si>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</si>
  <si>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</si>
  <si>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</si>
  <si>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</si>
  <si>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</si>
  <si>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</si>
  <si>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</si>
  <si>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</si>
  <si>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</si>
  <si>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</si>
  <si>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</si>
  <si>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</si>
  <si>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</si>
  <si>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</si>
  <si>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</si>
  <si>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</si>
  <si>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</si>
  <si>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</si>
  <si>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</si>
  <si>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</si>
  <si>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</si>
  <si>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</si>
  <si>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</si>
  <si>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</si>
  <si>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</si>
  <si>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</si>
  <si>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Admin (Muncipal Submission)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</si>
  <si>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</si>
  <si>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</si>
  <si>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</si>
  <si>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</si>
  <si>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</si>
  <si>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</si>
  <si>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</si>
  <si>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</si>
  <si>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</si>
  <si>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</si>
  <si>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</si>
  <si>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</si>
  <si>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</si>
  <si>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</si>
  <si>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</si>
  <si>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</si>
  <si>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</si>
  <si>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</si>
  <si>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</si>
  <si>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</si>
  <si>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</si>
  <si>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</si>
  <si>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</si>
  <si>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</si>
  <si>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</si>
  <si>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</si>
  <si>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</si>
  <si>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</si>
  <si>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</si>
  <si>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</si>
  <si>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</si>
  <si>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</si>
  <si>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</si>
  <si>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</si>
  <si>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</si>
  <si>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</si>
  <si>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</si>
  <si>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Hannes</t>
  </si>
  <si>
    <r>
      <t xml:space="preserve">Design </t>
    </r>
    <r>
      <rPr>
        <sz val="10"/>
        <color theme="1"/>
        <rFont val="Century Gothic"/>
        <family val="2"/>
      </rPr>
      <t>(Planning + 3D)</t>
    </r>
  </si>
  <si>
    <t>Commercial building</t>
  </si>
  <si>
    <t>SDP</t>
  </si>
  <si>
    <t>Drawings Breakdown</t>
  </si>
  <si>
    <t>Stage 1 to 4.2</t>
  </si>
  <si>
    <t>Drawings for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</si>
</sst>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  <numFmt numFmtId="171" formatCode="_-&quot;R&quot;* #,##0.00_-;\-&quot;R&quot;* #,##0.00_-;_-&quot;R&quot;* &quot;-&quot;??_-;_-@_-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3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/>
    <xf numFmtId="9" fontId="0" fillId="0" borderId="0" xfId="0" applyNumberFormat="1"/>
    <xf numFmtId="171" fontId="0" fillId="0" borderId="0" xfId="0" applyNumberFormat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164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3" fillId="0" borderId="0" xfId="0" applyFont="1" applyAlignment="1">
      <alignment horizontal="center" wrapText="1"/>
    </xf>
    <xf numFmtId="9" fontId="0" fillId="0" borderId="0" xfId="0" applyNumberFormat="1" applyAlignment="1">
      <alignment horizontal="center" vertical="center"/>
    </xf>
    <xf numFmtId="171" fontId="23" fillId="0" borderId="2" xfId="0" applyNumberFormat="1" applyFont="1" applyBorder="1"/>
    <xf numFmtId="9" fontId="0" fillId="0" borderId="12" xfId="3" applyFont="1" applyBorder="1" applyAlignment="1">
      <alignment horizontal="center" vertical="center"/>
    </xf>
    <xf numFmtId="171" fontId="0" fillId="0" borderId="0" xfId="0" applyNumberFormat="1" applyBorder="1"/>
    <xf numFmtId="0" fontId="23" fillId="0" borderId="0" xfId="0" applyFont="1"/>
    <xf numFmtId="0" fontId="21" fillId="9" borderId="0" xfId="2" applyFont="1" applyFill="1" applyBorder="1" applyAlignment="1">
      <alignment horizontal="center"/>
    </xf>
    <xf numFmtId="0" fontId="0" fillId="0" borderId="2" xfId="0" applyBorder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8" workbookViewId="0">
      <selection activeCell="D32" sqref="D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85"/>
      <c r="B1" s="285"/>
      <c r="C1" s="285"/>
      <c r="D1" s="285"/>
      <c r="E1" s="285"/>
      <c r="F1" s="285"/>
      <c r="G1" s="285"/>
      <c r="H1" s="285"/>
      <c r="I1" s="285"/>
      <c r="J1" s="285"/>
    </row>
    <row r="2" spans="1:11" x14ac:dyDescent="0.3">
      <c r="A2" s="285"/>
      <c r="B2" s="285"/>
      <c r="C2" s="285"/>
      <c r="D2" s="285"/>
      <c r="E2" s="285"/>
      <c r="F2" s="285"/>
      <c r="G2" s="285"/>
      <c r="H2" s="285"/>
      <c r="I2" s="285"/>
      <c r="J2" s="285"/>
    </row>
    <row r="3" spans="1:11" x14ac:dyDescent="0.3">
      <c r="A3" s="285"/>
      <c r="B3" s="285"/>
      <c r="C3" s="285"/>
      <c r="D3" s="285"/>
      <c r="E3" s="285"/>
      <c r="F3" s="285"/>
      <c r="G3" s="285"/>
      <c r="H3" s="285"/>
      <c r="I3" s="285"/>
      <c r="J3" s="285"/>
    </row>
    <row r="4" spans="1:11" x14ac:dyDescent="0.3">
      <c r="A4" s="285"/>
      <c r="B4" s="285"/>
      <c r="C4" s="285"/>
      <c r="D4" s="285"/>
      <c r="E4" s="285"/>
      <c r="F4" s="285"/>
      <c r="G4" s="285"/>
      <c r="H4" s="285"/>
      <c r="I4" s="285"/>
      <c r="J4" s="285"/>
    </row>
    <row r="5" spans="1:11" x14ac:dyDescent="0.3">
      <c r="A5" s="285"/>
      <c r="B5" s="285"/>
      <c r="C5" s="285"/>
      <c r="D5" s="285"/>
      <c r="E5" s="285"/>
      <c r="F5" s="285"/>
      <c r="G5" s="285"/>
      <c r="H5" s="285"/>
      <c r="I5" s="285"/>
      <c r="J5" s="285"/>
    </row>
    <row r="6" spans="1:11" x14ac:dyDescent="0.3">
      <c r="A6" s="285"/>
      <c r="B6" s="285"/>
      <c r="C6" s="285"/>
      <c r="D6" s="285"/>
      <c r="E6" s="285"/>
      <c r="F6" s="285"/>
      <c r="G6" s="285"/>
      <c r="H6" s="285"/>
      <c r="I6" s="285"/>
      <c r="J6" s="285"/>
    </row>
    <row r="7" spans="1:11" x14ac:dyDescent="0.3">
      <c r="A7" s="285"/>
      <c r="B7" s="285"/>
      <c r="C7" s="285"/>
      <c r="D7" s="285"/>
      <c r="E7" s="285"/>
      <c r="F7" s="285"/>
      <c r="G7" s="285"/>
      <c r="H7" s="285"/>
      <c r="I7" s="285"/>
      <c r="J7" s="285"/>
    </row>
    <row r="8" spans="1:11" x14ac:dyDescent="0.3">
      <c r="A8" s="285"/>
      <c r="B8" s="285"/>
      <c r="C8" s="285"/>
      <c r="D8" s="285"/>
      <c r="E8" s="285"/>
      <c r="F8" s="285"/>
      <c r="G8" s="285"/>
      <c r="H8" s="285"/>
      <c r="I8" s="285"/>
      <c r="J8" s="285"/>
    </row>
    <row r="9" spans="1:11" x14ac:dyDescent="0.3">
      <c r="A9" s="285"/>
      <c r="B9" s="285"/>
      <c r="C9" s="285"/>
      <c r="D9" s="285"/>
      <c r="E9" s="285"/>
      <c r="F9" s="285"/>
      <c r="G9" s="285"/>
      <c r="H9" s="285"/>
      <c r="I9" s="285"/>
      <c r="J9" s="285"/>
    </row>
    <row r="10" spans="1:11" x14ac:dyDescent="0.3">
      <c r="A10" s="285"/>
      <c r="B10" s="285"/>
      <c r="C10" s="285"/>
      <c r="D10" s="285"/>
      <c r="E10" s="285"/>
      <c r="F10" s="285"/>
      <c r="G10" s="285"/>
      <c r="H10" s="285"/>
      <c r="I10" s="285"/>
      <c r="J10" s="285"/>
    </row>
    <row r="11" spans="1:11" ht="21" thickBot="1" x14ac:dyDescent="0.35">
      <c r="A11" s="264" t="s">
        <v>5</v>
      </c>
      <c r="B11" s="265"/>
      <c r="C11" s="265"/>
      <c r="D11" s="265"/>
      <c r="E11" s="265"/>
      <c r="F11" s="265"/>
      <c r="G11" s="265"/>
      <c r="H11" s="265"/>
      <c r="I11" s="265"/>
      <c r="J11" s="265"/>
    </row>
    <row r="12" spans="1:11" ht="18.75" customHeight="1" thickBot="1" x14ac:dyDescent="0.35">
      <c r="A12" s="224" t="s">
        <v>89</v>
      </c>
      <c r="B12" s="225" t="s">
        <v>1</v>
      </c>
      <c r="C12" s="223" t="s">
        <v>0</v>
      </c>
      <c r="D12" s="227" t="s">
        <v>117</v>
      </c>
      <c r="E12" s="277" t="s">
        <v>9</v>
      </c>
      <c r="F12" s="278"/>
      <c r="G12" s="279"/>
      <c r="H12" s="277" t="s">
        <v>4</v>
      </c>
      <c r="I12" s="279"/>
      <c r="J12" s="223" t="s">
        <v>135</v>
      </c>
    </row>
    <row r="13" spans="1:11" x14ac:dyDescent="0.3">
      <c r="A13" s="219">
        <v>1</v>
      </c>
      <c r="B13" s="229" t="s">
        <v>136</v>
      </c>
      <c r="C13" s="113" t="s">
        <v>2</v>
      </c>
      <c r="D13" s="221">
        <v>40000</v>
      </c>
      <c r="E13" s="275">
        <v>0.1</v>
      </c>
      <c r="F13" s="275"/>
      <c r="G13" s="221">
        <f>D13*E13</f>
        <v>4000</v>
      </c>
      <c r="H13" s="284">
        <f>D13+G13</f>
        <v>44000</v>
      </c>
      <c r="I13" s="284"/>
      <c r="J13" s="113">
        <v>2</v>
      </c>
    </row>
    <row r="14" spans="1:11" x14ac:dyDescent="0.3">
      <c r="A14" s="219">
        <v>2</v>
      </c>
      <c r="B14" s="113" t="s">
        <v>93</v>
      </c>
      <c r="C14" s="113" t="s">
        <v>92</v>
      </c>
      <c r="D14" s="220">
        <v>24000</v>
      </c>
      <c r="E14" s="276">
        <v>0.1</v>
      </c>
      <c r="F14" s="276"/>
      <c r="G14" s="221">
        <f>D14*E14</f>
        <v>2400</v>
      </c>
      <c r="H14" s="283">
        <f>D14+G14</f>
        <v>26400</v>
      </c>
      <c r="I14" s="283"/>
      <c r="J14" s="113">
        <v>1</v>
      </c>
    </row>
    <row r="15" spans="1:11" x14ac:dyDescent="0.3">
      <c r="A15" s="219"/>
      <c r="B15" s="113"/>
      <c r="C15" s="113"/>
      <c r="D15" s="220"/>
      <c r="E15" s="273"/>
      <c r="F15" s="273"/>
      <c r="G15" s="221"/>
      <c r="H15" s="283"/>
      <c r="I15" s="283"/>
      <c r="J15" s="113"/>
    </row>
    <row r="16" spans="1:11" x14ac:dyDescent="0.3">
      <c r="A16" s="4"/>
      <c r="E16" s="282"/>
      <c r="F16" s="282"/>
      <c r="H16" s="282"/>
      <c r="I16" s="282"/>
      <c r="K16"/>
    </row>
    <row r="17" spans="1:15" ht="21" thickBot="1" x14ac:dyDescent="0.35">
      <c r="A17" s="266" t="s">
        <v>6</v>
      </c>
      <c r="B17" s="266"/>
      <c r="C17" s="266"/>
      <c r="D17" s="266"/>
      <c r="E17" s="266"/>
      <c r="F17" s="266"/>
      <c r="G17" s="266"/>
      <c r="H17" s="266"/>
      <c r="I17" s="266"/>
      <c r="J17" s="266"/>
      <c r="K17"/>
    </row>
    <row r="18" spans="1:15" ht="18" thickBot="1" x14ac:dyDescent="0.35">
      <c r="A18" s="222" t="s">
        <v>89</v>
      </c>
      <c r="B18" s="226" t="s">
        <v>7</v>
      </c>
      <c r="C18" s="267" t="s">
        <v>10</v>
      </c>
      <c r="D18" s="268"/>
      <c r="E18" s="262" t="s">
        <v>8</v>
      </c>
      <c r="F18" s="263"/>
      <c r="G18" s="270" t="s">
        <v>11</v>
      </c>
      <c r="H18" s="271"/>
      <c r="I18" s="271"/>
      <c r="J18" s="271"/>
      <c r="K18"/>
    </row>
    <row r="19" spans="1:15" x14ac:dyDescent="0.3">
      <c r="A19" s="219">
        <v>1</v>
      </c>
      <c r="B19" s="228">
        <v>21</v>
      </c>
      <c r="C19" s="269">
        <f>D45</f>
        <v>6240.323166666667</v>
      </c>
      <c r="D19" s="269"/>
      <c r="E19" s="280">
        <v>8</v>
      </c>
      <c r="F19" s="280"/>
      <c r="G19" s="272">
        <f>ROUNDUP(C19/E19,-0.1)</f>
        <v>781</v>
      </c>
      <c r="H19" s="272"/>
      <c r="I19" s="272"/>
      <c r="J19" s="272"/>
      <c r="K19" s="113"/>
    </row>
    <row r="20" spans="1:15" x14ac:dyDescent="0.3">
      <c r="A20" s="219">
        <v>2</v>
      </c>
      <c r="B20" s="228">
        <v>21</v>
      </c>
      <c r="C20" s="273">
        <f ca="1">J45</f>
        <v>5167.8</v>
      </c>
      <c r="D20" s="273"/>
      <c r="E20" s="281">
        <v>8</v>
      </c>
      <c r="F20" s="281"/>
      <c r="G20" s="274">
        <f ca="1">ROUNDUP(C20/E20,-1)</f>
        <v>650</v>
      </c>
      <c r="H20" s="274"/>
      <c r="I20" s="274"/>
      <c r="J20" s="274"/>
      <c r="K20" s="113"/>
    </row>
    <row r="21" spans="1:15" x14ac:dyDescent="0.3">
      <c r="A21" s="4"/>
      <c r="E21" s="282"/>
      <c r="F21" s="282"/>
      <c r="K21"/>
    </row>
    <row r="22" spans="1:15" ht="21" thickBot="1" x14ac:dyDescent="0.35">
      <c r="A22" s="264" t="s">
        <v>137</v>
      </c>
      <c r="B22" s="265"/>
      <c r="C22" s="265"/>
      <c r="D22" s="265"/>
      <c r="E22" s="265"/>
      <c r="F22" s="265"/>
      <c r="G22" s="265"/>
      <c r="H22" s="265"/>
      <c r="I22" s="265"/>
      <c r="J22" s="265"/>
      <c r="K22"/>
    </row>
    <row r="23" spans="1:15" ht="18" thickBot="1" x14ac:dyDescent="0.35">
      <c r="A23" s="222"/>
      <c r="B23" s="241" t="s">
        <v>138</v>
      </c>
      <c r="C23" s="241"/>
      <c r="D23" s="241" t="s">
        <v>3</v>
      </c>
      <c r="E23" s="241"/>
      <c r="F23" s="6"/>
      <c r="G23" s="6"/>
      <c r="H23" s="6"/>
      <c r="I23" s="6"/>
      <c r="J23" s="235"/>
    </row>
    <row r="24" spans="1:15" x14ac:dyDescent="0.3">
      <c r="A24" s="243">
        <v>1</v>
      </c>
      <c r="B24" s="14" t="s">
        <v>139</v>
      </c>
      <c r="C24" s="14"/>
      <c r="D24" s="248">
        <v>9510</v>
      </c>
      <c r="E24" s="249"/>
      <c r="F24" s="242">
        <v>1</v>
      </c>
      <c r="G24" s="1" t="s">
        <v>167</v>
      </c>
      <c r="I24" s="258">
        <v>1</v>
      </c>
      <c r="J24" s="250">
        <f ca="1">SUMIF($L$33:$O$42,G24,$O$33:$O$42)*$I$24</f>
        <v>750</v>
      </c>
      <c r="L24" s="1" t="s">
        <v>156</v>
      </c>
    </row>
    <row r="25" spans="1:15" x14ac:dyDescent="0.3">
      <c r="A25" s="4">
        <v>2</v>
      </c>
      <c r="B25" s="1" t="s">
        <v>140</v>
      </c>
      <c r="D25" s="215">
        <v>1000</v>
      </c>
      <c r="E25" s="250"/>
      <c r="F25" s="242">
        <v>2</v>
      </c>
      <c r="G25" s="1" t="s">
        <v>168</v>
      </c>
      <c r="I25" s="258">
        <v>1</v>
      </c>
      <c r="J25" s="250">
        <f ca="1">SUMIF($L$33:$O$43,G25,$O$33:$O$43)*$I$25</f>
        <v>350</v>
      </c>
      <c r="L25" s="231" t="s">
        <v>157</v>
      </c>
      <c r="M25" s="246" t="s">
        <v>158</v>
      </c>
      <c r="N25" s="232" t="s">
        <v>4</v>
      </c>
      <c r="O25" s="247" t="s">
        <v>159</v>
      </c>
    </row>
    <row r="26" spans="1:15" x14ac:dyDescent="0.3">
      <c r="A26" s="4">
        <v>3</v>
      </c>
      <c r="B26" s="1" t="s">
        <v>142</v>
      </c>
      <c r="D26" s="215">
        <v>3830</v>
      </c>
      <c r="E26" s="250"/>
      <c r="F26" s="242">
        <v>3</v>
      </c>
      <c r="G26" s="1" t="s">
        <v>139</v>
      </c>
      <c r="I26" s="258">
        <v>0.3</v>
      </c>
      <c r="J26" s="250">
        <f ca="1">SUMIF($B$24:$D$36,G26,$D$24:$D$36)*I26</f>
        <v>2853</v>
      </c>
      <c r="L26" s="175" t="s">
        <v>164</v>
      </c>
      <c r="M26" s="244">
        <v>12</v>
      </c>
      <c r="N26" s="257">
        <f>9000*C41</f>
        <v>18000</v>
      </c>
      <c r="O26" s="217">
        <f>N26/M26</f>
        <v>1500</v>
      </c>
    </row>
    <row r="27" spans="1:15" x14ac:dyDescent="0.3">
      <c r="A27" s="4">
        <v>4</v>
      </c>
      <c r="B27" s="1" t="s">
        <v>143</v>
      </c>
      <c r="D27" s="215">
        <v>600</v>
      </c>
      <c r="E27" s="250"/>
      <c r="F27" s="242">
        <v>4</v>
      </c>
      <c r="G27" s="1" t="s">
        <v>140</v>
      </c>
      <c r="I27" s="258">
        <v>0.3</v>
      </c>
      <c r="J27" s="250">
        <f ca="1">SUMIF($B$24:$D$36,G27,$D$24:$D$36)*I27</f>
        <v>300</v>
      </c>
      <c r="L27" s="77" t="s">
        <v>160</v>
      </c>
      <c r="M27" s="1">
        <v>12</v>
      </c>
      <c r="N27" s="215">
        <v>13200</v>
      </c>
      <c r="O27" s="250">
        <f>N27/M27</f>
        <v>1100</v>
      </c>
    </row>
    <row r="28" spans="1:15" x14ac:dyDescent="0.3">
      <c r="A28" s="4">
        <v>5</v>
      </c>
      <c r="B28" s="1" t="s">
        <v>144</v>
      </c>
      <c r="D28" s="215">
        <v>770</v>
      </c>
      <c r="E28" s="250"/>
      <c r="F28" s="242">
        <v>5</v>
      </c>
      <c r="G28" s="1" t="s">
        <v>143</v>
      </c>
      <c r="I28" s="258">
        <v>0.3</v>
      </c>
      <c r="J28" s="250">
        <f ca="1">SUMIF($B$24:$D$36,G28,$D$24:$D$36)*I28</f>
        <v>180</v>
      </c>
      <c r="L28" s="77" t="s">
        <v>161</v>
      </c>
      <c r="M28" s="1">
        <v>12</v>
      </c>
      <c r="N28" s="215">
        <v>1600</v>
      </c>
      <c r="O28" s="250">
        <f>N28/M28</f>
        <v>133.33333333333334</v>
      </c>
    </row>
    <row r="29" spans="1:15" x14ac:dyDescent="0.3">
      <c r="A29" s="4">
        <v>6</v>
      </c>
      <c r="B29" s="1" t="s">
        <v>145</v>
      </c>
      <c r="D29" s="215">
        <f>700*4*2</f>
        <v>5600</v>
      </c>
      <c r="E29" s="250"/>
      <c r="F29" s="242">
        <v>6</v>
      </c>
      <c r="G29" s="1" t="s">
        <v>144</v>
      </c>
      <c r="I29" s="258">
        <v>0.3</v>
      </c>
      <c r="J29" s="250">
        <f ca="1">SUMIF($B$24:$D$36,G29,$D$24:$D$36)*I29</f>
        <v>231</v>
      </c>
      <c r="L29" s="179" t="s">
        <v>162</v>
      </c>
      <c r="M29" s="180">
        <v>12</v>
      </c>
      <c r="N29" s="180"/>
      <c r="O29" s="245"/>
    </row>
    <row r="30" spans="1:15" x14ac:dyDescent="0.3">
      <c r="A30" s="4">
        <v>7</v>
      </c>
      <c r="B30" s="1" t="s">
        <v>146</v>
      </c>
      <c r="D30" s="215">
        <v>4000</v>
      </c>
      <c r="E30" s="250"/>
      <c r="J30" s="178"/>
      <c r="L30" s="231"/>
      <c r="M30" s="230"/>
      <c r="N30" s="230" t="s">
        <v>3</v>
      </c>
      <c r="O30" s="214">
        <f>SUM(O26:O29)</f>
        <v>2733.3333333333335</v>
      </c>
    </row>
    <row r="31" spans="1:15" x14ac:dyDescent="0.3">
      <c r="A31" s="4">
        <v>8</v>
      </c>
      <c r="B31" s="1" t="s">
        <v>147</v>
      </c>
      <c r="D31" s="215">
        <v>200</v>
      </c>
      <c r="E31" s="250"/>
      <c r="F31" s="77"/>
      <c r="J31" s="178"/>
    </row>
    <row r="32" spans="1:15" x14ac:dyDescent="0.3">
      <c r="A32" s="4">
        <v>9</v>
      </c>
      <c r="B32" s="1" t="s">
        <v>148</v>
      </c>
      <c r="D32" s="215">
        <f>O43*2</f>
        <v>700</v>
      </c>
      <c r="E32" s="250"/>
      <c r="J32" s="178"/>
      <c r="L32" s="1" t="s">
        <v>163</v>
      </c>
    </row>
    <row r="33" spans="1:15" x14ac:dyDescent="0.3">
      <c r="A33" s="4">
        <v>10</v>
      </c>
      <c r="B33" s="1" t="s">
        <v>149</v>
      </c>
      <c r="D33" s="215">
        <f>10000/12</f>
        <v>833.33333333333337</v>
      </c>
      <c r="E33" s="250"/>
      <c r="J33" s="178"/>
      <c r="L33" s="175" t="s">
        <v>164</v>
      </c>
      <c r="M33" s="244">
        <v>12</v>
      </c>
      <c r="N33" s="257">
        <f>9000</f>
        <v>9000</v>
      </c>
      <c r="O33" s="217">
        <f>N33/M33</f>
        <v>750</v>
      </c>
    </row>
    <row r="34" spans="1:15" x14ac:dyDescent="0.3">
      <c r="A34" s="3">
        <v>11</v>
      </c>
      <c r="B34" s="1" t="s">
        <v>150</v>
      </c>
      <c r="D34" s="215">
        <f>4200/12</f>
        <v>350</v>
      </c>
      <c r="E34" s="250"/>
      <c r="F34" s="77"/>
      <c r="J34" s="178"/>
      <c r="L34" s="77"/>
      <c r="M34" s="1">
        <v>12</v>
      </c>
      <c r="N34" s="215"/>
      <c r="O34" s="250">
        <f>N34/M34</f>
        <v>0</v>
      </c>
    </row>
    <row r="35" spans="1:15" x14ac:dyDescent="0.3">
      <c r="A35" s="3">
        <v>12</v>
      </c>
      <c r="B35" s="1" t="s">
        <v>151</v>
      </c>
      <c r="D35" s="215">
        <f>5200/12/2</f>
        <v>216.66666666666666</v>
      </c>
      <c r="E35" s="250"/>
      <c r="F35" s="77"/>
      <c r="G35" s="215"/>
      <c r="H35" s="215"/>
      <c r="I35" s="215"/>
      <c r="J35" s="178"/>
      <c r="L35" s="77"/>
      <c r="M35" s="1">
        <v>12</v>
      </c>
      <c r="N35" s="215"/>
      <c r="O35" s="250">
        <f>N35/M35</f>
        <v>0</v>
      </c>
    </row>
    <row r="36" spans="1:15" x14ac:dyDescent="0.3">
      <c r="A36" s="236">
        <v>13</v>
      </c>
      <c r="B36" s="180" t="s">
        <v>141</v>
      </c>
      <c r="C36" s="180"/>
      <c r="D36" s="251">
        <f>O30</f>
        <v>2733.3333333333335</v>
      </c>
      <c r="E36" s="218"/>
      <c r="F36" s="179"/>
      <c r="G36" s="251"/>
      <c r="H36" s="251"/>
      <c r="I36" s="251"/>
      <c r="J36" s="218"/>
      <c r="L36" s="77"/>
      <c r="M36" s="1">
        <v>12</v>
      </c>
      <c r="N36" s="215"/>
      <c r="O36" s="250">
        <f>N36/M36</f>
        <v>0</v>
      </c>
    </row>
    <row r="37" spans="1:15" x14ac:dyDescent="0.3">
      <c r="A37" s="3"/>
      <c r="D37" s="215"/>
      <c r="E37" s="215"/>
      <c r="G37" s="215"/>
      <c r="H37" s="215"/>
      <c r="I37" s="215"/>
      <c r="J37" s="215"/>
      <c r="L37" s="231" t="s">
        <v>167</v>
      </c>
      <c r="M37" s="230"/>
      <c r="N37" s="230"/>
      <c r="O37" s="214">
        <f>SUM(O33:O36)</f>
        <v>750</v>
      </c>
    </row>
    <row r="38" spans="1:15" x14ac:dyDescent="0.3">
      <c r="A38" s="3"/>
      <c r="B38" s="69" t="s">
        <v>169</v>
      </c>
      <c r="D38" s="215">
        <f>SUM(D24:D36)</f>
        <v>30343.333333333332</v>
      </c>
      <c r="E38" s="215"/>
      <c r="G38" s="69" t="s">
        <v>169</v>
      </c>
      <c r="H38" s="215"/>
      <c r="I38" s="215"/>
      <c r="J38" s="215">
        <f ca="1">SUM(J24:J36)</f>
        <v>4664</v>
      </c>
    </row>
    <row r="39" spans="1:15" ht="18" thickBot="1" x14ac:dyDescent="0.35">
      <c r="A39" s="237"/>
      <c r="B39" s="238" t="s">
        <v>152</v>
      </c>
      <c r="C39" s="240">
        <v>0.21299999999999999</v>
      </c>
      <c r="D39" s="252">
        <f>SUM(D38)*(1+C39)</f>
        <v>36806.463333333333</v>
      </c>
      <c r="E39" s="215"/>
      <c r="F39" s="261"/>
      <c r="G39" s="238" t="s">
        <v>152</v>
      </c>
      <c r="H39" s="238"/>
      <c r="I39" s="259">
        <v>15.5</v>
      </c>
      <c r="J39" s="260">
        <f ca="1">SUM(J38)*(1+I39)</f>
        <v>76956</v>
      </c>
      <c r="L39" s="1" t="s">
        <v>166</v>
      </c>
    </row>
    <row r="40" spans="1:15" ht="18" thickTop="1" x14ac:dyDescent="0.3">
      <c r="A40" s="4"/>
      <c r="C40" s="215"/>
      <c r="D40" s="215"/>
      <c r="E40" s="215"/>
      <c r="H40" s="215"/>
      <c r="I40" s="215"/>
      <c r="L40" s="175" t="s">
        <v>148</v>
      </c>
      <c r="M40" s="244">
        <v>12</v>
      </c>
      <c r="N40" s="257">
        <v>4200</v>
      </c>
      <c r="O40" s="217">
        <f>N40/M40</f>
        <v>350</v>
      </c>
    </row>
    <row r="41" spans="1:15" x14ac:dyDescent="0.3">
      <c r="A41" s="4">
        <v>1</v>
      </c>
      <c r="B41" s="1" t="s">
        <v>153</v>
      </c>
      <c r="C41" s="1">
        <f>J13</f>
        <v>2</v>
      </c>
      <c r="D41" s="215">
        <f>H13*J13</f>
        <v>88000</v>
      </c>
      <c r="E41" s="215"/>
      <c r="F41" s="3">
        <v>1</v>
      </c>
      <c r="G41" s="1" t="s">
        <v>165</v>
      </c>
      <c r="J41" s="215">
        <f>H14</f>
        <v>26400</v>
      </c>
      <c r="L41" s="77"/>
      <c r="O41" s="178"/>
    </row>
    <row r="42" spans="1:15" ht="18" thickBot="1" x14ac:dyDescent="0.35">
      <c r="A42" s="4"/>
      <c r="C42" s="215"/>
      <c r="D42" s="215"/>
      <c r="E42" s="215"/>
      <c r="L42" s="179"/>
      <c r="M42" s="180"/>
      <c r="N42" s="180"/>
      <c r="O42" s="245"/>
    </row>
    <row r="43" spans="1:15" ht="18" thickBot="1" x14ac:dyDescent="0.35">
      <c r="A43" s="4"/>
      <c r="B43" s="233" t="s">
        <v>170</v>
      </c>
      <c r="C43" s="6"/>
      <c r="D43" s="253">
        <f>D39+D41</f>
        <v>124806.46333333333</v>
      </c>
      <c r="E43" s="254"/>
      <c r="F43" s="215"/>
      <c r="G43" s="233" t="s">
        <v>170</v>
      </c>
      <c r="H43" s="6"/>
      <c r="I43" s="6"/>
      <c r="J43" s="253">
        <f ca="1">J39+J41</f>
        <v>103356</v>
      </c>
      <c r="L43" s="231" t="s">
        <v>168</v>
      </c>
      <c r="M43" s="230"/>
      <c r="N43" s="230"/>
      <c r="O43" s="214">
        <f>SUM(O40:O42)</f>
        <v>350</v>
      </c>
    </row>
    <row r="44" spans="1:15" ht="18" thickBot="1" x14ac:dyDescent="0.35">
      <c r="A44" s="4"/>
      <c r="B44" s="69"/>
      <c r="D44" s="254"/>
      <c r="E44" s="254"/>
    </row>
    <row r="45" spans="1:15" ht="18" thickBot="1" x14ac:dyDescent="0.35">
      <c r="A45" s="4"/>
      <c r="B45" s="234" t="s">
        <v>154</v>
      </c>
      <c r="C45" s="6"/>
      <c r="D45" s="255">
        <f>D43/4/5</f>
        <v>6240.323166666667</v>
      </c>
      <c r="E45" s="215"/>
      <c r="F45" s="95"/>
      <c r="G45" s="234" t="s">
        <v>154</v>
      </c>
      <c r="H45" s="6"/>
      <c r="I45" s="6"/>
      <c r="J45" s="255">
        <f ca="1">J43/4/5</f>
        <v>5167.8</v>
      </c>
    </row>
    <row r="46" spans="1:15" ht="18" thickBot="1" x14ac:dyDescent="0.35">
      <c r="A46" s="4"/>
      <c r="B46" s="89" t="s">
        <v>155</v>
      </c>
      <c r="C46" s="239"/>
      <c r="D46" s="256">
        <f>D45/8</f>
        <v>780.04039583333338</v>
      </c>
      <c r="E46" s="215"/>
      <c r="G46" s="89" t="s">
        <v>155</v>
      </c>
      <c r="H46" s="6"/>
      <c r="I46" s="6"/>
      <c r="J46" s="255">
        <f ca="1">J45/8</f>
        <v>645.97500000000002</v>
      </c>
    </row>
  </sheetData>
  <mergeCells count="24"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E19:F19"/>
    <mergeCell ref="E20:F20"/>
    <mergeCell ref="E15:F15"/>
    <mergeCell ref="E16:F16"/>
    <mergeCell ref="E18:F18"/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10"/>
  <sheetViews>
    <sheetView tabSelected="1" topLeftCell="A50" zoomScaleNormal="100" workbookViewId="0">
      <selection activeCell="G72" sqref="G72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9.42578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1.1406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/>
      <c r="M10" s="1"/>
    </row>
    <row r="11" spans="1:13" ht="21" thickBot="1" x14ac:dyDescent="0.35">
      <c r="A11" s="293" t="s">
        <v>12</v>
      </c>
      <c r="B11" s="294"/>
      <c r="C11" s="294"/>
      <c r="D11" s="294"/>
      <c r="E11" s="294"/>
      <c r="F11" s="294"/>
      <c r="G11" s="294"/>
      <c r="H11" s="295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96" t="s">
        <v>63</v>
      </c>
      <c r="B13" s="297"/>
      <c r="C13" s="298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299" t="s">
        <v>59</v>
      </c>
      <c r="B14" s="300"/>
      <c r="C14" s="300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01" t="s">
        <v>77</v>
      </c>
      <c r="B15" s="302"/>
      <c r="C15" s="71"/>
      <c r="D15" s="71"/>
      <c r="E15" s="71"/>
      <c r="F15" s="76">
        <f>SUM(F16:F30)</f>
        <v>298</v>
      </c>
      <c r="G15" s="216">
        <f>SUM(G16:G23)</f>
        <v>37.25</v>
      </c>
      <c r="H15" s="187">
        <f>SUM(H16:H23)</f>
        <v>232738</v>
      </c>
      <c r="I15" s="1"/>
      <c r="J15" s="286" t="s">
        <v>71</v>
      </c>
      <c r="K15" s="287"/>
      <c r="L15" s="288"/>
      <c r="M15" s="152">
        <f>G15</f>
        <v>37.25</v>
      </c>
    </row>
    <row r="16" spans="1:13" ht="17.25" x14ac:dyDescent="0.3">
      <c r="A16" s="182" t="s">
        <v>172</v>
      </c>
      <c r="B16" s="292"/>
      <c r="C16" s="292"/>
      <c r="D16" s="60" t="s">
        <v>171</v>
      </c>
      <c r="E16" s="60">
        <f>IF(D16="Dewald", Employees!$G$19,IF(D16="Hannes",Employees!$G$19,IF(D16="Johan",Employees!$G$20,"")))</f>
        <v>781</v>
      </c>
      <c r="F16" s="3">
        <v>120</v>
      </c>
      <c r="G16" s="183">
        <f t="shared" ref="G16:G23" si="0">IF(F16="","",F16/8)</f>
        <v>15</v>
      </c>
      <c r="H16" s="185">
        <f t="shared" ref="H16:H21" si="1">IF(E16="","",F16*E16)</f>
        <v>93720</v>
      </c>
      <c r="I16" s="1"/>
      <c r="M16" s="3"/>
    </row>
    <row r="17" spans="1:14" s="320" customFormat="1" ht="17.25" x14ac:dyDescent="0.3">
      <c r="A17" s="327" t="s">
        <v>174</v>
      </c>
      <c r="B17" s="331"/>
      <c r="C17" s="331"/>
      <c r="D17" s="323" t="s">
        <v>171</v>
      </c>
      <c r="E17" s="323">
        <f>IF(D17="Dewald", Employees!$G$19,IF(D17="Hannes",Employees!$G$19,IF(D17="Johan",Employees!$G$20,"")))</f>
        <v>781</v>
      </c>
      <c r="F17" s="322">
        <v>80</v>
      </c>
      <c r="G17" s="328">
        <f t="shared" si="0"/>
        <v>10</v>
      </c>
      <c r="H17" s="185">
        <f t="shared" si="1"/>
        <v>62480</v>
      </c>
      <c r="I17" s="321"/>
      <c r="M17" s="322"/>
    </row>
    <row r="18" spans="1:14" ht="17.25" x14ac:dyDescent="0.3">
      <c r="A18" s="1" t="s">
        <v>114</v>
      </c>
      <c r="B18" s="1"/>
      <c r="C18" s="1"/>
      <c r="D18" s="60" t="s">
        <v>171</v>
      </c>
      <c r="E18" s="60">
        <f>IF(D18="Dewald", Employees!$G$19,IF(D18="Hannes",Employees!$G$19,IF(D18="Johan",Employees!$G$20,"")))</f>
        <v>781</v>
      </c>
      <c r="F18" s="3">
        <v>90</v>
      </c>
      <c r="G18" s="183">
        <f t="shared" si="0"/>
        <v>11.25</v>
      </c>
      <c r="H18" s="185">
        <f t="shared" si="1"/>
        <v>70290</v>
      </c>
      <c r="I18" s="1"/>
      <c r="M18" s="3"/>
    </row>
    <row r="19" spans="1:14" ht="18" thickBot="1" x14ac:dyDescent="0.35">
      <c r="A19" s="1" t="s">
        <v>133</v>
      </c>
      <c r="B19" s="1"/>
      <c r="C19" s="1"/>
      <c r="D19" s="60" t="s">
        <v>171</v>
      </c>
      <c r="E19" s="60">
        <f>IF(D19="Dewald", Employees!$G$19,IF(D19="Hannes",Employees!$G$19,IF(D19="Johan",Employees!$G$20,"")))</f>
        <v>781</v>
      </c>
      <c r="F19" s="3">
        <v>8</v>
      </c>
      <c r="G19" s="183">
        <f t="shared" si="0"/>
        <v>1</v>
      </c>
      <c r="H19" s="185">
        <f t="shared" si="1"/>
        <v>6248</v>
      </c>
      <c r="I19" s="1"/>
      <c r="M19" s="3"/>
    </row>
    <row r="20" spans="1:14" ht="18" thickBot="1" x14ac:dyDescent="0.35">
      <c r="A20" s="1"/>
      <c r="B20" s="1"/>
      <c r="C20" s="1"/>
      <c r="D20" s="60"/>
      <c r="E20" s="60" t="str">
        <f>IF(D20="Dewald", Employees!$G$19,IF(D20="Hannes",Employees!$G$19,IF(D20="Johan",Employees!$G$20,"")))</f>
        <v/>
      </c>
      <c r="F20" s="185" t="str">
        <f>IF(C20="","",D20*C20)</f>
        <v/>
      </c>
      <c r="G20" s="183" t="str">
        <f t="shared" si="0"/>
        <v/>
      </c>
      <c r="H20" s="185" t="str">
        <f>IF(E20="","",F20*E20)</f>
        <v/>
      </c>
      <c r="I20" s="1"/>
      <c r="J20" s="289" t="s">
        <v>74</v>
      </c>
      <c r="K20" s="290"/>
      <c r="L20" s="291"/>
      <c r="M20" s="105">
        <f>H27/M15</f>
        <v>6248</v>
      </c>
    </row>
    <row r="21" spans="1:14" ht="17.25" x14ac:dyDescent="0.3">
      <c r="A21" s="182"/>
      <c r="D21" s="60"/>
      <c r="E21" s="60" t="str">
        <f>IF(D21="Dewald", Employees!$G$19,IF(D21="Hannes",Employees!$G$19,IF(D21="Johan",Employees!$G$20,"")))</f>
        <v/>
      </c>
      <c r="F21" s="3"/>
      <c r="G21" s="183" t="str">
        <f t="shared" si="0"/>
        <v/>
      </c>
      <c r="H21" s="185" t="str">
        <f t="shared" si="1"/>
        <v/>
      </c>
      <c r="I21" s="1"/>
      <c r="M21" s="96"/>
    </row>
    <row r="22" spans="1:14" ht="17.25" x14ac:dyDescent="0.3">
      <c r="A22" s="182"/>
      <c r="D22" s="60"/>
      <c r="E22" s="60" t="str">
        <f>IF(D22="Dewald", Employees!$G$19,IF(D22="Hannes",Employees!$G$19,IF(D22="Johan",Employees!$G$20,"")))</f>
        <v/>
      </c>
      <c r="F22" s="3"/>
      <c r="G22" s="183" t="str">
        <f t="shared" si="0"/>
        <v/>
      </c>
      <c r="H22" s="185"/>
      <c r="I22" s="1"/>
      <c r="M22" s="96"/>
    </row>
    <row r="23" spans="1:14" ht="18" thickBot="1" x14ac:dyDescent="0.35">
      <c r="A23" s="1"/>
      <c r="B23" s="1"/>
      <c r="D23" s="60"/>
      <c r="E23" s="60"/>
      <c r="F23" s="3"/>
      <c r="G23" s="183" t="str">
        <f t="shared" si="0"/>
        <v/>
      </c>
      <c r="H23" s="185"/>
      <c r="I23" s="1"/>
    </row>
    <row r="24" spans="1:14" ht="18" thickBot="1" x14ac:dyDescent="0.35">
      <c r="G24" s="183" t="str">
        <f t="shared" ref="G24" si="2">IF(F24="","",F24/8)</f>
        <v/>
      </c>
      <c r="H24" s="159"/>
      <c r="I24" s="1"/>
      <c r="J24" s="100" t="s">
        <v>90</v>
      </c>
      <c r="K24" s="102" t="s">
        <v>84</v>
      </c>
      <c r="L24" s="103" t="s">
        <v>79</v>
      </c>
      <c r="M24" s="104" t="s">
        <v>82</v>
      </c>
      <c r="N24" s="101" t="s">
        <v>80</v>
      </c>
    </row>
    <row r="25" spans="1:14" ht="18" x14ac:dyDescent="0.3">
      <c r="A25" s="73"/>
      <c r="B25" s="73"/>
      <c r="D25" s="91"/>
      <c r="F25" s="91" t="s">
        <v>76</v>
      </c>
      <c r="G25" s="73"/>
      <c r="H25" s="184">
        <f>H15</f>
        <v>232738</v>
      </c>
      <c r="I25" s="1"/>
      <c r="J25" s="106">
        <f>H27</f>
        <v>232738</v>
      </c>
      <c r="K25" s="60">
        <f>J25*0.05</f>
        <v>11636.900000000001</v>
      </c>
      <c r="L25" s="60">
        <f>J25-K25</f>
        <v>221101.1</v>
      </c>
      <c r="M25" s="106">
        <f>L25-N25</f>
        <v>128975.64166666666</v>
      </c>
      <c r="N25" s="108">
        <f>L25/2.4</f>
        <v>92125.458333333343</v>
      </c>
    </row>
    <row r="26" spans="1:14" ht="18.75" thickBot="1" x14ac:dyDescent="0.35">
      <c r="A26" s="73"/>
      <c r="B26" s="73"/>
      <c r="C26" s="73"/>
      <c r="F26" s="91" t="s">
        <v>75</v>
      </c>
      <c r="G26" s="74">
        <v>0</v>
      </c>
      <c r="H26" s="184">
        <f>H25*G26</f>
        <v>0</v>
      </c>
      <c r="I26" s="1"/>
      <c r="M26" s="96"/>
    </row>
    <row r="27" spans="1:14" ht="19.5" thickBot="1" x14ac:dyDescent="0.35">
      <c r="A27" s="1"/>
      <c r="B27" s="1"/>
      <c r="C27" s="1"/>
      <c r="D27" s="1"/>
      <c r="F27" s="134" t="s">
        <v>67</v>
      </c>
      <c r="G27" s="135"/>
      <c r="H27" s="186">
        <f>(H25-H26)</f>
        <v>232738</v>
      </c>
      <c r="I27" s="1"/>
      <c r="J27" s="99" t="s">
        <v>81</v>
      </c>
      <c r="K27" s="94"/>
      <c r="L27" s="94"/>
      <c r="M27" s="107">
        <f>M25*0.15</f>
        <v>19346.346249999999</v>
      </c>
    </row>
    <row r="28" spans="1:14" ht="18" thickBot="1" x14ac:dyDescent="0.35">
      <c r="A28" s="1"/>
      <c r="B28" s="1"/>
      <c r="C28" s="1"/>
      <c r="D28" s="1"/>
      <c r="E28" s="1"/>
      <c r="F28" s="1"/>
      <c r="G28" s="1"/>
      <c r="H28" s="1"/>
      <c r="I28" s="1"/>
    </row>
    <row r="29" spans="1:14" ht="18" thickBot="1" x14ac:dyDescent="0.35">
      <c r="A29" s="78"/>
      <c r="B29" s="78"/>
      <c r="C29" s="78"/>
      <c r="D29" s="78"/>
      <c r="E29" s="78"/>
      <c r="F29" s="78"/>
      <c r="G29" s="78"/>
      <c r="H29" s="78"/>
      <c r="I29" s="1"/>
      <c r="J29" s="98" t="s">
        <v>83</v>
      </c>
      <c r="K29" s="94"/>
      <c r="L29" s="94"/>
      <c r="M29" s="107">
        <f>M25-M27</f>
        <v>109629.29541666666</v>
      </c>
    </row>
    <row r="30" spans="1:14" ht="18" thickBot="1" x14ac:dyDescent="0.35">
      <c r="H30" s="159"/>
      <c r="I30" s="1"/>
    </row>
    <row r="31" spans="1:14" ht="19.5" thickBot="1" x14ac:dyDescent="0.35">
      <c r="A31" s="194" t="s">
        <v>69</v>
      </c>
      <c r="B31" s="147"/>
      <c r="C31" s="148"/>
      <c r="D31" s="1"/>
      <c r="E31" s="3"/>
      <c r="F31" s="1"/>
      <c r="G31" s="1"/>
      <c r="H31" s="1"/>
      <c r="I31" s="1"/>
      <c r="J31" s="1"/>
      <c r="K31" s="93"/>
      <c r="M31" s="96"/>
    </row>
    <row r="32" spans="1:14" ht="18" thickBot="1" x14ac:dyDescent="0.35">
      <c r="A32" s="130" t="s">
        <v>59</v>
      </c>
      <c r="B32" s="121"/>
      <c r="C32" s="121"/>
      <c r="D32" s="121"/>
      <c r="E32" s="121"/>
      <c r="F32" s="121"/>
      <c r="G32" s="199"/>
      <c r="H32" s="122"/>
    </row>
    <row r="33" spans="1:13" ht="18" thickBot="1" x14ac:dyDescent="0.35">
      <c r="I33" s="1"/>
      <c r="J33" s="161" t="s">
        <v>109</v>
      </c>
      <c r="K33" s="161" t="s">
        <v>110</v>
      </c>
      <c r="L33" s="161" t="s">
        <v>111</v>
      </c>
      <c r="M33" s="60"/>
    </row>
    <row r="34" spans="1:13" ht="18" thickBot="1" x14ac:dyDescent="0.35">
      <c r="A34" s="149" t="s">
        <v>77</v>
      </c>
      <c r="B34" s="150"/>
      <c r="C34" s="71"/>
      <c r="D34" s="121" t="s">
        <v>61</v>
      </c>
      <c r="E34" s="121" t="s">
        <v>68</v>
      </c>
      <c r="F34" s="121" t="s">
        <v>70</v>
      </c>
      <c r="G34" s="198"/>
      <c r="H34" s="187">
        <f>SUM(H35:H39)</f>
        <v>391800</v>
      </c>
      <c r="I34" s="1"/>
      <c r="J34" s="162" t="s">
        <v>106</v>
      </c>
      <c r="K34" s="163">
        <v>0.6</v>
      </c>
      <c r="L34" s="164">
        <f>J25*K34</f>
        <v>139642.79999999999</v>
      </c>
    </row>
    <row r="35" spans="1:13" ht="17.25" x14ac:dyDescent="0.3">
      <c r="A35" s="182" t="s">
        <v>42</v>
      </c>
      <c r="B35" s="182"/>
      <c r="C35" s="1"/>
      <c r="D35" s="60" t="s">
        <v>73</v>
      </c>
      <c r="E35" s="5">
        <v>110</v>
      </c>
      <c r="F35" s="1">
        <v>1500</v>
      </c>
      <c r="G35" s="70"/>
      <c r="H35" s="185">
        <f>F35*E35</f>
        <v>165000</v>
      </c>
      <c r="I35" s="1"/>
      <c r="J35" s="162" t="s">
        <v>107</v>
      </c>
      <c r="K35" s="163">
        <v>0.32</v>
      </c>
      <c r="L35" s="164">
        <f>J25*K35</f>
        <v>74476.160000000003</v>
      </c>
    </row>
    <row r="36" spans="1:13" ht="18" thickBot="1" x14ac:dyDescent="0.35">
      <c r="A36" s="182" t="s">
        <v>114</v>
      </c>
      <c r="B36" s="182"/>
      <c r="C36" s="1"/>
      <c r="D36" s="60" t="s">
        <v>73</v>
      </c>
      <c r="E36" s="5">
        <v>150</v>
      </c>
      <c r="F36" s="1">
        <v>1500</v>
      </c>
      <c r="G36" s="70"/>
      <c r="H36" s="185">
        <f t="shared" ref="H36:H37" si="3">F36*E36</f>
        <v>225000</v>
      </c>
      <c r="J36" s="165" t="s">
        <v>108</v>
      </c>
      <c r="K36" s="166">
        <v>0.08</v>
      </c>
      <c r="L36" s="167">
        <f>J25*K36</f>
        <v>18619.04</v>
      </c>
      <c r="M36" s="1"/>
    </row>
    <row r="37" spans="1:13" ht="18" thickBot="1" x14ac:dyDescent="0.35">
      <c r="A37" s="182" t="s">
        <v>78</v>
      </c>
      <c r="B37" s="182"/>
      <c r="C37" s="1"/>
      <c r="D37" s="60" t="s">
        <v>73</v>
      </c>
      <c r="E37" s="5">
        <v>12</v>
      </c>
      <c r="F37" s="1">
        <v>150</v>
      </c>
      <c r="G37" s="70"/>
      <c r="H37" s="185">
        <f t="shared" si="3"/>
        <v>1800</v>
      </c>
      <c r="J37" s="168" t="s">
        <v>3</v>
      </c>
      <c r="K37" s="169">
        <f>SUM(K34:K36)</f>
        <v>0.99999999999999989</v>
      </c>
      <c r="L37" s="160">
        <f>SUM(L34:L36)</f>
        <v>232738</v>
      </c>
      <c r="M37" s="1"/>
    </row>
    <row r="38" spans="1:13" ht="17.25" x14ac:dyDescent="0.3">
      <c r="A38" s="182" t="s">
        <v>118</v>
      </c>
      <c r="B38" s="182"/>
      <c r="D38" s="60" t="s">
        <v>73</v>
      </c>
      <c r="E38" s="5">
        <v>10</v>
      </c>
      <c r="F38" s="1">
        <v>0</v>
      </c>
      <c r="G38" s="1"/>
      <c r="H38" s="185">
        <f>F38*E38</f>
        <v>0</v>
      </c>
      <c r="M38" s="1"/>
    </row>
    <row r="39" spans="1:13" ht="17.25" x14ac:dyDescent="0.3">
      <c r="A39" s="182" t="s">
        <v>121</v>
      </c>
      <c r="B39" s="182"/>
      <c r="D39" s="60" t="s">
        <v>73</v>
      </c>
      <c r="E39" s="5">
        <v>12</v>
      </c>
      <c r="F39" s="1">
        <v>0</v>
      </c>
      <c r="G39" s="1"/>
      <c r="H39" s="185">
        <f>F39*E39</f>
        <v>0</v>
      </c>
      <c r="M39" s="1"/>
    </row>
    <row r="40" spans="1:13" ht="17.25" x14ac:dyDescent="0.3">
      <c r="M40" s="1"/>
    </row>
    <row r="41" spans="1:13" ht="18" x14ac:dyDescent="0.3">
      <c r="A41" s="73"/>
      <c r="C41" s="73"/>
      <c r="D41" s="73"/>
      <c r="F41" s="91" t="s">
        <v>115</v>
      </c>
      <c r="G41" s="73"/>
      <c r="H41" s="184">
        <f>H34</f>
        <v>391800</v>
      </c>
      <c r="J41" s="159"/>
      <c r="M41" s="1"/>
    </row>
    <row r="42" spans="1:13" ht="18.75" thickBot="1" x14ac:dyDescent="0.35">
      <c r="A42" s="73"/>
      <c r="B42" s="73"/>
      <c r="C42" s="73"/>
      <c r="E42" s="133"/>
      <c r="F42" s="91" t="s">
        <v>75</v>
      </c>
      <c r="G42" s="74">
        <v>0</v>
      </c>
      <c r="H42" s="4"/>
      <c r="J42" s="159"/>
      <c r="M42" s="1"/>
    </row>
    <row r="43" spans="1:13" ht="19.5" thickBot="1" x14ac:dyDescent="0.35">
      <c r="A43" s="1"/>
      <c r="B43" s="1"/>
      <c r="C43" s="1"/>
      <c r="D43" s="1"/>
      <c r="E43" s="1"/>
      <c r="F43" s="1"/>
      <c r="G43" s="75" t="s">
        <v>67</v>
      </c>
      <c r="H43" s="186">
        <f>H41</f>
        <v>391800</v>
      </c>
      <c r="L43" s="1"/>
      <c r="M43" s="93"/>
    </row>
    <row r="44" spans="1:13" ht="17.25" x14ac:dyDescent="0.3">
      <c r="A44" s="1"/>
      <c r="B44" s="1"/>
      <c r="C44" s="1"/>
      <c r="D44" s="1"/>
      <c r="E44" s="1"/>
      <c r="F44" s="1"/>
      <c r="G44" s="1"/>
      <c r="H44" s="1"/>
    </row>
    <row r="45" spans="1:13" ht="17.25" x14ac:dyDescent="0.3">
      <c r="A45" s="78"/>
      <c r="B45" s="78"/>
      <c r="C45" s="78"/>
      <c r="D45" s="78"/>
      <c r="E45" s="78"/>
      <c r="F45" s="78"/>
      <c r="G45" s="78"/>
      <c r="H45" s="78"/>
      <c r="J45" s="5"/>
      <c r="K45" s="5"/>
      <c r="M45" s="1"/>
    </row>
    <row r="46" spans="1:13" ht="18" thickBot="1" x14ac:dyDescent="0.35">
      <c r="L46" s="1"/>
      <c r="M46" s="1"/>
    </row>
    <row r="47" spans="1:13" ht="19.5" thickBot="1" x14ac:dyDescent="0.35">
      <c r="A47" s="195" t="s">
        <v>65</v>
      </c>
      <c r="B47" s="196"/>
      <c r="C47" s="197"/>
      <c r="D47" s="1"/>
      <c r="E47" s="1"/>
      <c r="F47" s="1"/>
      <c r="G47" s="1"/>
      <c r="H47" s="1"/>
      <c r="J47" t="s">
        <v>102</v>
      </c>
      <c r="K47" t="s">
        <v>103</v>
      </c>
      <c r="L47" t="s">
        <v>104</v>
      </c>
      <c r="M47" t="s">
        <v>105</v>
      </c>
    </row>
    <row r="48" spans="1:13" ht="18" thickBot="1" x14ac:dyDescent="0.35">
      <c r="A48" s="130" t="s">
        <v>13</v>
      </c>
      <c r="B48" s="121"/>
      <c r="C48" s="121"/>
      <c r="D48" s="191"/>
      <c r="E48" s="192"/>
      <c r="F48" s="121" t="s">
        <v>68</v>
      </c>
      <c r="G48" s="192" t="s">
        <v>14</v>
      </c>
      <c r="H48" s="193" t="s">
        <v>88</v>
      </c>
      <c r="J48" s="153" t="s">
        <v>94</v>
      </c>
      <c r="K48" s="158">
        <v>20000</v>
      </c>
      <c r="L48" s="92">
        <v>1</v>
      </c>
      <c r="M48" s="155">
        <f t="shared" ref="M48:M55" si="4">K48*L48</f>
        <v>20000</v>
      </c>
    </row>
    <row r="49" spans="1:13" ht="17.25" x14ac:dyDescent="0.3">
      <c r="A49" s="14"/>
      <c r="B49" s="14"/>
      <c r="C49" s="14"/>
      <c r="D49" s="14"/>
      <c r="E49" s="151"/>
      <c r="F49" s="151"/>
      <c r="G49" s="124"/>
      <c r="H49" s="151"/>
      <c r="J49" s="118" t="s">
        <v>95</v>
      </c>
      <c r="K49" s="159">
        <v>3000</v>
      </c>
      <c r="L49">
        <v>4</v>
      </c>
      <c r="M49" s="156">
        <f t="shared" si="4"/>
        <v>12000</v>
      </c>
    </row>
    <row r="50" spans="1:13" ht="17.25" x14ac:dyDescent="0.3">
      <c r="A50" s="1" t="s">
        <v>173</v>
      </c>
      <c r="B50" s="61"/>
      <c r="C50" s="4"/>
      <c r="D50" s="1"/>
      <c r="E50" s="60"/>
      <c r="F50" s="60">
        <v>8000</v>
      </c>
      <c r="G50" s="3">
        <v>1300</v>
      </c>
      <c r="H50" s="60">
        <f>G50*F50</f>
        <v>10400000</v>
      </c>
      <c r="J50" s="118" t="s">
        <v>96</v>
      </c>
      <c r="K50" s="159">
        <v>5000</v>
      </c>
      <c r="L50">
        <v>2</v>
      </c>
      <c r="M50" s="156">
        <f t="shared" si="4"/>
        <v>10000</v>
      </c>
    </row>
    <row r="51" spans="1:13" ht="17.25" x14ac:dyDescent="0.3">
      <c r="A51" s="1"/>
      <c r="B51" s="61"/>
      <c r="F51" s="60"/>
      <c r="G51" s="3"/>
      <c r="H51" s="60"/>
      <c r="J51" s="118" t="s">
        <v>97</v>
      </c>
      <c r="K51" s="159">
        <v>8000</v>
      </c>
      <c r="L51">
        <v>1</v>
      </c>
      <c r="M51" s="156">
        <f t="shared" si="4"/>
        <v>8000</v>
      </c>
    </row>
    <row r="52" spans="1:13" ht="17.25" x14ac:dyDescent="0.3">
      <c r="A52" s="1"/>
      <c r="J52" s="118" t="s">
        <v>101</v>
      </c>
      <c r="K52" s="159">
        <v>5000</v>
      </c>
      <c r="L52">
        <v>1</v>
      </c>
      <c r="M52" s="156">
        <f t="shared" si="4"/>
        <v>5000</v>
      </c>
    </row>
    <row r="53" spans="1:13" ht="18" thickBot="1" x14ac:dyDescent="0.35">
      <c r="A53" s="1"/>
      <c r="B53" s="1"/>
      <c r="C53" s="1"/>
      <c r="D53" s="1" t="s">
        <v>132</v>
      </c>
      <c r="E53" s="60"/>
      <c r="F53" s="60"/>
      <c r="G53" s="3"/>
      <c r="H53" s="60"/>
      <c r="J53" s="118" t="s">
        <v>98</v>
      </c>
      <c r="K53" s="159">
        <v>2000</v>
      </c>
      <c r="L53">
        <v>1</v>
      </c>
      <c r="M53" s="156">
        <f t="shared" si="4"/>
        <v>2000</v>
      </c>
    </row>
    <row r="54" spans="1:13" ht="18" thickBot="1" x14ac:dyDescent="0.35">
      <c r="A54" s="1"/>
      <c r="B54" s="1"/>
      <c r="C54" s="1"/>
      <c r="D54" s="1"/>
      <c r="E54" s="120"/>
      <c r="F54" s="62" t="s">
        <v>3</v>
      </c>
      <c r="G54" s="63">
        <f>SUM(G49:G52)</f>
        <v>1300</v>
      </c>
      <c r="H54" s="97">
        <f>SUM(H49:H53)</f>
        <v>10400000</v>
      </c>
      <c r="J54" s="118" t="s">
        <v>99</v>
      </c>
      <c r="K54" s="159">
        <v>7000</v>
      </c>
      <c r="L54">
        <v>1</v>
      </c>
      <c r="M54" s="156">
        <f t="shared" si="4"/>
        <v>7000</v>
      </c>
    </row>
    <row r="55" spans="1:13" ht="15.75" thickBot="1" x14ac:dyDescent="0.3">
      <c r="J55" s="118" t="s">
        <v>100</v>
      </c>
      <c r="K55" s="159">
        <v>15000</v>
      </c>
      <c r="L55">
        <v>1</v>
      </c>
      <c r="M55" s="156">
        <f t="shared" si="4"/>
        <v>15000</v>
      </c>
    </row>
    <row r="56" spans="1:13" ht="19.5" thickBot="1" x14ac:dyDescent="0.35">
      <c r="A56" s="205" t="s">
        <v>35</v>
      </c>
      <c r="B56" s="200"/>
      <c r="C56" s="200"/>
      <c r="D56" s="200"/>
      <c r="E56" s="307">
        <f>H54</f>
        <v>10400000</v>
      </c>
      <c r="F56" s="308"/>
      <c r="G56" s="308"/>
      <c r="H56" s="309"/>
      <c r="I56" s="1"/>
      <c r="J56" s="154"/>
      <c r="K56" s="119"/>
      <c r="L56" s="119"/>
      <c r="M56" s="157">
        <f>SUM(M48:M55)</f>
        <v>79000</v>
      </c>
    </row>
    <row r="57" spans="1:13" ht="18.75" x14ac:dyDescent="0.3">
      <c r="A57" s="202" t="s">
        <v>85</v>
      </c>
      <c r="B57" s="201"/>
      <c r="C57" s="201"/>
      <c r="D57" s="201"/>
      <c r="E57" s="310" t="s">
        <v>134</v>
      </c>
      <c r="F57" s="310"/>
      <c r="G57" s="310"/>
      <c r="H57" s="310"/>
    </row>
    <row r="58" spans="1:13" ht="15.75" thickBot="1" x14ac:dyDescent="0.3"/>
    <row r="59" spans="1:13" ht="20.25" thickBot="1" x14ac:dyDescent="0.3">
      <c r="A59" s="204" t="s">
        <v>44</v>
      </c>
      <c r="B59" s="59"/>
      <c r="C59" s="59"/>
      <c r="D59" s="59"/>
      <c r="E59" s="59"/>
      <c r="F59" s="59"/>
      <c r="G59" s="59"/>
      <c r="H59" s="129"/>
    </row>
    <row r="61" spans="1:13" ht="17.25" x14ac:dyDescent="0.25">
      <c r="A61" s="126" t="s">
        <v>21</v>
      </c>
      <c r="B61" s="127"/>
      <c r="C61" s="127"/>
      <c r="D61" s="128"/>
      <c r="E61" s="207">
        <f>IF($E$57="Medium",IF($E$56&gt;Data!D48,IF($E$56&gt;Data!D49,IF($E$56&gt;Data!D50,IF($E$56&gt;Data!D51,IF($E$56&gt;Data!D52,IF($E$56&gt;Data!D53,IF($E$56&gt;Data!D54,IF($E$56&gt;Data!D55,IF($E$56&gt;Data!D56,IF($E$56&gt;Data!D57,IF($E$56&gt;Data!D58,Data!E59,Data!E58),Data!E57),Data!E56),Data!E55),Data!E54),Data!E53),Data!E52),Data!E51),Data!E50),Data!E49),Data!E48),IF($E$57="High",(IF($E$56&gt;Data!D29,IF($E$56&gt;Data!D30,IF($E$56&gt;Data!D31,IF($E$56&gt;Data!D32,IF($E$56&gt;Data!D33,IF($E$56&gt;Data!D34,IF($E$56&gt;Data!D35,IF($E$56&gt;Data!D36,IF($E$56&gt;Data!D37,IF($E$56&gt;Data!D38,IF($E$56&gt;Data!D39,Data!E40,Data!E39),Data!E37),Data!E36),Data!E35),Data!E34),Data!E33),Data!E52),Data!E32),Data!E31),Data!E30),Data!E29)),IF($E$57="Low",(IF($E$56&gt;Data!D67,IF($E$56&gt;Data!D68,IF($E$56&gt;Data!D69,IF($E$56&gt;Data!D70,IF($E$56&gt;Data!D71,IF($E$56&gt;Data!D72,IF($E$56&gt;Data!D73,IF($E$56&gt;Data!D74,IF($E$56&gt;Data!D75,IF($E$56&gt;Data!D76,IF($E$56&gt;Data!D77,Data!E78,Data!E77),Data!E76),Data!E75),Data!E74),Data!E73),Data!E72),Data!E71),Data!E70),Data!E69),Data!E68),Data!E67)))))</f>
        <v>770251.28</v>
      </c>
      <c r="F61" s="131"/>
      <c r="G61" s="131"/>
      <c r="H61" s="132"/>
    </row>
    <row r="62" spans="1:13" ht="17.25" x14ac:dyDescent="0.25">
      <c r="A62" s="136" t="s">
        <v>49</v>
      </c>
      <c r="B62" s="61"/>
      <c r="C62" s="61"/>
      <c r="D62" s="137"/>
      <c r="E62" s="208">
        <f>IF($E$57="Medium",($E$56-(VLOOKUP($E$61,Data!E48:G59,3,FALSE)))*(VLOOKUP($E$61,Data!E48:G59,2,FALSE)),IF($E$57="High",($E$56-(VLOOKUP($E$61,Data!E29:G40,3,FALSE)))*(VLOOKUP($E$61,Data!E29:G40,2,FALSE)),IF($E$57="Low",($E$56-(VLOOKUP($E$61,Data!E66:G78,3,FALSE)))*(VLOOKUP($E$61,Data!E66:G78,2,FALSE)))))</f>
        <v>357239.90840000001</v>
      </c>
      <c r="F62" s="79"/>
      <c r="G62" s="79"/>
      <c r="H62" s="141"/>
      <c r="J62" s="93">
        <f>E56</f>
        <v>10400000</v>
      </c>
      <c r="K62" s="93">
        <f>E56*0.03</f>
        <v>312000</v>
      </c>
    </row>
    <row r="63" spans="1:13" ht="17.25" x14ac:dyDescent="0.25">
      <c r="A63" s="136"/>
      <c r="B63" s="61"/>
      <c r="C63" s="61"/>
      <c r="D63" s="137"/>
      <c r="E63" s="208">
        <f>E61+E62</f>
        <v>1127491.1884000001</v>
      </c>
      <c r="F63" s="79"/>
      <c r="G63" s="79"/>
      <c r="H63" s="141"/>
    </row>
    <row r="64" spans="1:13" ht="17.25" x14ac:dyDescent="0.25">
      <c r="A64" s="136" t="s">
        <v>52</v>
      </c>
      <c r="B64" s="61"/>
      <c r="C64" s="61"/>
      <c r="D64" s="137"/>
      <c r="E64" s="209">
        <v>0</v>
      </c>
      <c r="F64" s="4"/>
      <c r="G64" s="4"/>
      <c r="H64" s="144"/>
    </row>
    <row r="65" spans="1:12" ht="18" x14ac:dyDescent="0.25">
      <c r="A65" s="138" t="s">
        <v>54</v>
      </c>
      <c r="B65" s="139"/>
      <c r="C65" s="139"/>
      <c r="D65" s="140"/>
      <c r="E65" s="210">
        <f>E63+E64</f>
        <v>1127491.1884000001</v>
      </c>
      <c r="F65" s="142"/>
      <c r="G65" s="142"/>
      <c r="H65" s="143"/>
    </row>
    <row r="66" spans="1:12" ht="15.75" thickBot="1" x14ac:dyDescent="0.3"/>
    <row r="67" spans="1:12" ht="19.5" thickBot="1" x14ac:dyDescent="0.35">
      <c r="A67" s="206" t="s">
        <v>36</v>
      </c>
      <c r="B67" s="145"/>
      <c r="C67" s="145"/>
      <c r="D67" s="146"/>
      <c r="E67" s="112" t="s">
        <v>37</v>
      </c>
      <c r="F67" s="112" t="s">
        <v>120</v>
      </c>
      <c r="G67" s="123" t="s">
        <v>66</v>
      </c>
      <c r="H67" s="112" t="s">
        <v>119</v>
      </c>
      <c r="J67" s="337" t="s">
        <v>176</v>
      </c>
      <c r="K67" s="320"/>
      <c r="L67" s="326">
        <f>SUM(H68:H72)</f>
        <v>562618.10301160009</v>
      </c>
    </row>
    <row r="68" spans="1:12" ht="18" thickBot="1" x14ac:dyDescent="0.35">
      <c r="A68" s="84" t="s">
        <v>127</v>
      </c>
      <c r="B68" s="124" t="s">
        <v>131</v>
      </c>
      <c r="C68" s="124"/>
      <c r="D68" s="124"/>
      <c r="E68" s="109">
        <v>0.02</v>
      </c>
      <c r="F68" s="83">
        <f>$E$65*E68</f>
        <v>22549.823768000002</v>
      </c>
      <c r="G68" s="109">
        <v>0.3</v>
      </c>
      <c r="H68" s="110">
        <f>IF(G68=0,F68,F68-(F68*G68))</f>
        <v>15784.876637600002</v>
      </c>
      <c r="J68" s="338" t="s">
        <v>66</v>
      </c>
      <c r="K68" s="334">
        <v>0</v>
      </c>
      <c r="L68" s="333">
        <f>L67-(L67*K68)</f>
        <v>562618.10301160009</v>
      </c>
    </row>
    <row r="69" spans="1:12" ht="17.25" x14ac:dyDescent="0.3">
      <c r="A69" s="88" t="s">
        <v>126</v>
      </c>
      <c r="B69" s="3" t="s">
        <v>129</v>
      </c>
      <c r="C69" s="3"/>
      <c r="D69" s="3"/>
      <c r="E69" s="212">
        <v>0.15</v>
      </c>
      <c r="F69" s="5">
        <f t="shared" ref="F69:F74" si="5">$E$65*E69</f>
        <v>169123.67826000002</v>
      </c>
      <c r="G69" s="212">
        <v>0.3</v>
      </c>
      <c r="H69" s="87">
        <f t="shared" ref="H69:H74" si="6">IF(G69=0,F69,F69-(F69*G69))</f>
        <v>118386.57478200001</v>
      </c>
      <c r="J69" s="336" t="s">
        <v>175</v>
      </c>
      <c r="K69" s="320"/>
      <c r="L69" s="326"/>
    </row>
    <row r="70" spans="1:12" ht="17.25" x14ac:dyDescent="0.3">
      <c r="A70" s="88" t="s">
        <v>125</v>
      </c>
      <c r="B70" s="3" t="s">
        <v>128</v>
      </c>
      <c r="C70" s="3"/>
      <c r="D70" s="3"/>
      <c r="E70" s="212">
        <v>0.2</v>
      </c>
      <c r="F70" s="5">
        <f t="shared" si="5"/>
        <v>225498.23768000002</v>
      </c>
      <c r="G70" s="212">
        <v>0.3</v>
      </c>
      <c r="H70" s="87">
        <f t="shared" si="6"/>
        <v>157848.76637600001</v>
      </c>
      <c r="J70" s="320" t="s">
        <v>42</v>
      </c>
      <c r="K70" s="325">
        <v>0.26</v>
      </c>
      <c r="L70" s="326">
        <f>L68*K70</f>
        <v>146280.70678301604</v>
      </c>
    </row>
    <row r="71" spans="1:12" ht="17.25" x14ac:dyDescent="0.3">
      <c r="A71" s="88" t="s">
        <v>45</v>
      </c>
      <c r="B71" s="3" t="s">
        <v>46</v>
      </c>
      <c r="C71" s="3"/>
      <c r="D71" s="3"/>
      <c r="E71" s="212">
        <v>0.1</v>
      </c>
      <c r="F71" s="5">
        <f t="shared" si="5"/>
        <v>112749.11884000001</v>
      </c>
      <c r="G71" s="212">
        <v>0.2</v>
      </c>
      <c r="H71" s="87">
        <f t="shared" si="6"/>
        <v>90199.295072000008</v>
      </c>
      <c r="J71" s="320" t="s">
        <v>174</v>
      </c>
      <c r="K71" s="325">
        <v>0.3</v>
      </c>
      <c r="L71" s="326">
        <f>L68*K71</f>
        <v>168785.43090348001</v>
      </c>
    </row>
    <row r="72" spans="1:12" ht="17.25" x14ac:dyDescent="0.3">
      <c r="A72" s="88" t="s">
        <v>57</v>
      </c>
      <c r="B72" s="3" t="s">
        <v>47</v>
      </c>
      <c r="C72" s="3"/>
      <c r="D72" s="3"/>
      <c r="E72" s="212">
        <v>0.2</v>
      </c>
      <c r="F72" s="5">
        <f t="shared" si="5"/>
        <v>225498.23768000002</v>
      </c>
      <c r="G72" s="212">
        <v>0.2</v>
      </c>
      <c r="H72" s="87">
        <f>IF(G72=0,F72,F72-(F72*G72))</f>
        <v>180398.59014400002</v>
      </c>
      <c r="J72" s="329" t="s">
        <v>45</v>
      </c>
      <c r="K72" s="325">
        <v>0.24</v>
      </c>
      <c r="L72" s="326">
        <f>L68*K72</f>
        <v>135028.34472278401</v>
      </c>
    </row>
    <row r="73" spans="1:12" ht="17.25" x14ac:dyDescent="0.3">
      <c r="A73" s="88" t="s">
        <v>50</v>
      </c>
      <c r="B73" s="3" t="s">
        <v>130</v>
      </c>
      <c r="C73" s="3"/>
      <c r="D73" s="3"/>
      <c r="E73" s="212">
        <v>0.3</v>
      </c>
      <c r="F73" s="5">
        <f t="shared" si="5"/>
        <v>338247.35652000003</v>
      </c>
      <c r="G73" s="212">
        <v>0</v>
      </c>
      <c r="H73" s="87">
        <f>IF(G73=0,F73,F73-(F73*G73))</f>
        <v>338247.35652000003</v>
      </c>
      <c r="J73" s="329" t="s">
        <v>177</v>
      </c>
      <c r="K73" s="325">
        <v>0.2</v>
      </c>
      <c r="L73" s="326">
        <f>L68*K73</f>
        <v>112523.62060232002</v>
      </c>
    </row>
    <row r="74" spans="1:12" ht="18" thickBot="1" x14ac:dyDescent="0.35">
      <c r="A74" s="89" t="s">
        <v>124</v>
      </c>
      <c r="B74" s="125" t="s">
        <v>123</v>
      </c>
      <c r="C74" s="125"/>
      <c r="D74" s="125"/>
      <c r="E74" s="111">
        <v>0.03</v>
      </c>
      <c r="F74" s="85">
        <f t="shared" si="5"/>
        <v>33824.735652000003</v>
      </c>
      <c r="G74" s="111">
        <v>0</v>
      </c>
      <c r="H74" s="86">
        <f t="shared" si="6"/>
        <v>33824.735652000003</v>
      </c>
      <c r="J74" s="320"/>
      <c r="K74" s="332">
        <f>SUM(K70:K73)</f>
        <v>1</v>
      </c>
      <c r="L74" s="326"/>
    </row>
    <row r="75" spans="1:12" ht="18" thickBot="1" x14ac:dyDescent="0.35">
      <c r="A75" s="1"/>
      <c r="B75" s="1"/>
      <c r="C75" s="1"/>
      <c r="F75" s="1"/>
      <c r="G75" s="3"/>
      <c r="H75" s="1"/>
      <c r="J75" s="329"/>
      <c r="K75" s="326"/>
      <c r="L75" s="326"/>
    </row>
    <row r="76" spans="1:12" ht="19.5" thickBot="1" x14ac:dyDescent="0.35">
      <c r="A76" s="1"/>
      <c r="B76" s="1"/>
      <c r="C76" s="1"/>
      <c r="E76" s="304" t="s">
        <v>91</v>
      </c>
      <c r="F76" s="305"/>
      <c r="G76" s="306"/>
      <c r="H76" s="117">
        <f>H77*(1-(SUM(H68:H74)/H77))</f>
        <v>192800.99321640006</v>
      </c>
      <c r="J76" s="330"/>
      <c r="K76" s="326"/>
      <c r="L76" s="326"/>
    </row>
    <row r="77" spans="1:12" ht="19.5" thickBot="1" x14ac:dyDescent="0.35">
      <c r="B77" s="113"/>
      <c r="C77" s="113"/>
      <c r="E77" s="304" t="s">
        <v>53</v>
      </c>
      <c r="F77" s="305"/>
      <c r="G77" s="306"/>
      <c r="H77" s="117">
        <f>SUM(F68:F74)</f>
        <v>1127491.1884000001</v>
      </c>
      <c r="J77" s="324"/>
      <c r="K77" s="324"/>
      <c r="L77" s="326"/>
    </row>
    <row r="78" spans="1:12" ht="15.75" thickBot="1" x14ac:dyDescent="0.3">
      <c r="J78" s="324"/>
      <c r="K78" s="320"/>
      <c r="L78" s="335"/>
    </row>
    <row r="79" spans="1:12" ht="18.75" thickBot="1" x14ac:dyDescent="0.3">
      <c r="E79" s="311" t="s">
        <v>116</v>
      </c>
      <c r="F79" s="312"/>
      <c r="G79" s="313"/>
      <c r="H79" s="114">
        <f>H77-H76</f>
        <v>934690.19518360007</v>
      </c>
      <c r="J79" s="325"/>
      <c r="K79" s="320"/>
      <c r="L79" s="320"/>
    </row>
    <row r="80" spans="1:12" ht="17.25" x14ac:dyDescent="0.3">
      <c r="A80" s="1"/>
      <c r="B80" s="211"/>
      <c r="C80" s="188"/>
      <c r="D80" s="188"/>
      <c r="E80" s="60"/>
      <c r="F80" s="170"/>
      <c r="G80" s="4"/>
      <c r="H80" s="79"/>
      <c r="J80" s="324"/>
      <c r="K80" s="324"/>
      <c r="L80" s="324"/>
    </row>
    <row r="81" spans="4:13" x14ac:dyDescent="0.25">
      <c r="K81" s="93"/>
    </row>
    <row r="82" spans="4:13" x14ac:dyDescent="0.25">
      <c r="D82" s="303"/>
      <c r="E82" s="303"/>
    </row>
    <row r="84" spans="4:13" x14ac:dyDescent="0.25">
      <c r="D84" s="303"/>
      <c r="E84" s="303"/>
      <c r="M84" s="159"/>
    </row>
    <row r="86" spans="4:13" x14ac:dyDescent="0.25">
      <c r="D86" s="303"/>
      <c r="E86" s="303"/>
      <c r="F86" s="303"/>
      <c r="G86" s="303"/>
    </row>
    <row r="87" spans="4:13" x14ac:dyDescent="0.25">
      <c r="D87" s="303"/>
      <c r="E87" s="303"/>
      <c r="F87" s="303"/>
      <c r="G87" s="303"/>
    </row>
    <row r="88" spans="4:13" x14ac:dyDescent="0.25">
      <c r="D88" s="303"/>
      <c r="E88" s="303"/>
      <c r="F88" s="303"/>
      <c r="G88" s="303"/>
    </row>
    <row r="89" spans="4:13" x14ac:dyDescent="0.25">
      <c r="D89" s="303"/>
      <c r="E89" s="303"/>
      <c r="F89" s="303"/>
      <c r="G89" s="303"/>
    </row>
    <row r="90" spans="4:13" x14ac:dyDescent="0.25">
      <c r="D90" s="303"/>
      <c r="E90" s="303"/>
      <c r="F90" s="303"/>
      <c r="G90" s="303"/>
    </row>
    <row r="91" spans="4:13" x14ac:dyDescent="0.25">
      <c r="D91" s="303"/>
      <c r="E91" s="303"/>
      <c r="F91" s="303"/>
      <c r="G91" s="303"/>
    </row>
    <row r="92" spans="4:13" x14ac:dyDescent="0.25">
      <c r="D92" s="303"/>
      <c r="E92" s="303"/>
      <c r="F92" s="303"/>
      <c r="G92" s="303"/>
    </row>
    <row r="93" spans="4:13" x14ac:dyDescent="0.25">
      <c r="D93" s="303"/>
      <c r="E93" s="303"/>
      <c r="F93" s="303"/>
      <c r="G93" s="303"/>
    </row>
    <row r="95" spans="4:13" ht="22.5" customHeight="1" x14ac:dyDescent="0.25">
      <c r="D95" s="303"/>
      <c r="E95" s="303"/>
      <c r="F95" s="303"/>
      <c r="G95" s="303"/>
    </row>
    <row r="97" spans="4:14" x14ac:dyDescent="0.25">
      <c r="J97" s="213"/>
      <c r="L97" s="159"/>
    </row>
    <row r="98" spans="4:14" x14ac:dyDescent="0.25">
      <c r="L98" s="213"/>
      <c r="M98" s="159"/>
    </row>
    <row r="100" spans="4:14" x14ac:dyDescent="0.25">
      <c r="M100" s="93"/>
    </row>
    <row r="103" spans="4:14" x14ac:dyDescent="0.25">
      <c r="N103" s="159"/>
    </row>
    <row r="106" spans="4:14" x14ac:dyDescent="0.25">
      <c r="K106" s="116"/>
    </row>
    <row r="107" spans="4:14" x14ac:dyDescent="0.25">
      <c r="K107" s="115"/>
    </row>
    <row r="108" spans="4:14" x14ac:dyDescent="0.25">
      <c r="D108" s="303"/>
      <c r="E108" s="303"/>
    </row>
    <row r="109" spans="4:14" x14ac:dyDescent="0.25">
      <c r="D109" s="303"/>
      <c r="E109" s="303"/>
    </row>
    <row r="110" spans="4:14" x14ac:dyDescent="0.25">
      <c r="D110" s="303"/>
      <c r="E110" s="303"/>
    </row>
  </sheetData>
  <mergeCells count="35">
    <mergeCell ref="E77:G77"/>
    <mergeCell ref="E79:G79"/>
    <mergeCell ref="D109:E109"/>
    <mergeCell ref="D87:E87"/>
    <mergeCell ref="D88:E88"/>
    <mergeCell ref="D89:E89"/>
    <mergeCell ref="D90:E90"/>
    <mergeCell ref="D91:E91"/>
    <mergeCell ref="D92:E92"/>
    <mergeCell ref="F95:G95"/>
    <mergeCell ref="D93:E93"/>
    <mergeCell ref="F93:G93"/>
    <mergeCell ref="D110:E110"/>
    <mergeCell ref="D108:E108"/>
    <mergeCell ref="E76:G76"/>
    <mergeCell ref="E56:H56"/>
    <mergeCell ref="E57:H57"/>
    <mergeCell ref="F86:G86"/>
    <mergeCell ref="F87:G87"/>
    <mergeCell ref="F88:G88"/>
    <mergeCell ref="F89:G89"/>
    <mergeCell ref="F90:G90"/>
    <mergeCell ref="F91:G91"/>
    <mergeCell ref="F92:G92"/>
    <mergeCell ref="D95:E95"/>
    <mergeCell ref="D86:E86"/>
    <mergeCell ref="D84:E84"/>
    <mergeCell ref="D82:E82"/>
    <mergeCell ref="J15:L15"/>
    <mergeCell ref="J20:L20"/>
    <mergeCell ref="B16:C16"/>
    <mergeCell ref="A11:H11"/>
    <mergeCell ref="A13:C13"/>
    <mergeCell ref="A14:C14"/>
    <mergeCell ref="A15:B15"/>
  </mergeCells>
  <phoneticPr fontId="25" type="noConversion"/>
  <dataValidations disablePrompts="1" count="2">
    <dataValidation type="list" allowBlank="1" showInputMessage="1" showErrorMessage="1" sqref="E57" xr:uid="{ECF54CF7-43CA-4261-8A26-6CBCF5480061}">
      <formula1>"Low,Medium,High"</formula1>
    </dataValidation>
    <dataValidation type="list" allowBlank="1" showInputMessage="1" showErrorMessage="1" sqref="D35:D39 D16:D24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ignoredErrors>
    <ignoredError sqref="G2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86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85</v>
      </c>
      <c r="C10" s="3" t="s">
        <v>122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16" t="s">
        <v>44</v>
      </c>
      <c r="C13" s="317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14" t="s">
        <v>53</v>
      </c>
      <c r="O14" s="315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18" t="s">
        <v>18</v>
      </c>
      <c r="C24" s="318"/>
      <c r="D24" s="318"/>
      <c r="E24" s="318"/>
      <c r="F24" s="318"/>
      <c r="G24" s="318"/>
    </row>
    <row r="25" spans="2:12" x14ac:dyDescent="0.3">
      <c r="B25" s="319" t="s">
        <v>19</v>
      </c>
      <c r="C25" s="319" t="s">
        <v>20</v>
      </c>
      <c r="D25" s="319"/>
      <c r="E25" s="319" t="s">
        <v>21</v>
      </c>
      <c r="F25" s="319" t="s">
        <v>22</v>
      </c>
      <c r="G25" s="319"/>
      <c r="J25" s="175" t="s">
        <v>87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7">
        <f>VLOOKUP(K25,E29:G40,2,FALSE)</f>
        <v>0.15090000000000001</v>
      </c>
    </row>
    <row r="26" spans="2:12" x14ac:dyDescent="0.3">
      <c r="B26" s="319"/>
      <c r="C26" s="10"/>
      <c r="D26" s="10"/>
      <c r="E26" s="319"/>
      <c r="F26" s="10"/>
      <c r="G26" s="10"/>
      <c r="J26" s="77" t="s">
        <v>90</v>
      </c>
      <c r="K26" s="5">
        <f>K25+L27</f>
        <v>645285.77910000004</v>
      </c>
      <c r="L26" s="178">
        <f>VLOOKUP(K25,E29:G40,3,FALSE)</f>
        <v>2000001</v>
      </c>
    </row>
    <row r="27" spans="2:12" x14ac:dyDescent="0.3">
      <c r="B27" s="319"/>
      <c r="C27" s="10" t="s">
        <v>23</v>
      </c>
      <c r="D27" s="10" t="s">
        <v>24</v>
      </c>
      <c r="E27" s="319"/>
      <c r="F27" s="10" t="s">
        <v>25</v>
      </c>
      <c r="G27" s="10" t="s">
        <v>26</v>
      </c>
      <c r="J27" s="179"/>
      <c r="K27" s="180" t="s">
        <v>113</v>
      </c>
      <c r="L27" s="181">
        <f>(C9-L26)*L25</f>
        <v>241439.84910000002</v>
      </c>
    </row>
    <row r="28" spans="2:12" x14ac:dyDescent="0.3">
      <c r="B28" s="319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9" t="s">
        <v>22</v>
      </c>
      <c r="G44" s="190"/>
      <c r="J44" s="175" t="s">
        <v>87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7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7" t="s">
        <v>90</v>
      </c>
      <c r="K45" s="5">
        <f>K44+L46</f>
        <v>554246.71039999998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113</v>
      </c>
      <c r="L46" s="181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112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87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7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7" t="s">
        <v>90</v>
      </c>
      <c r="K64" s="5">
        <f>K63+L65</f>
        <v>463207.63169999997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113</v>
      </c>
      <c r="L65" s="181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2025-02-20T11:04:25Z</dcterms:modified>
</cp:coreProperties>
</file>