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4\x021 - Lynn Rossouw - Jbay\Quote - Submission drawings\"/>
    </mc:Choice>
  </mc:AlternateContent>
  <xr:revisionPtr revIDLastSave="0" documentId="13_ncr:1_{3EEE6234-4F9C-4DE2-8D8D-F93C287A6031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Fees (MS)" sheetId="5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5" l="1"/>
  <c r="H53" i="5"/>
  <c r="G53" i="5"/>
  <c r="G54" i="5"/>
  <c r="G19" i="5"/>
  <c r="G20" i="5"/>
  <c r="H21" i="5"/>
  <c r="G18" i="5"/>
  <c r="H20" i="5" l="1"/>
  <c r="I96" i="5"/>
  <c r="F96" i="5"/>
  <c r="J87" i="5"/>
  <c r="H19" i="5"/>
  <c r="H18" i="5"/>
  <c r="H36" i="5"/>
  <c r="G17" i="5" l="1"/>
  <c r="G16" i="5"/>
  <c r="H37" i="5"/>
  <c r="H34" i="5" l="1"/>
  <c r="H102" i="5"/>
  <c r="H96" i="5"/>
  <c r="K15" i="5" l="1"/>
  <c r="K23" i="5" s="1"/>
  <c r="F87" i="5" l="1"/>
  <c r="H87" i="5" s="1"/>
  <c r="J96" i="5" s="1"/>
  <c r="H59" i="5"/>
  <c r="E61" i="5" s="1"/>
  <c r="G59" i="5"/>
  <c r="G15" i="5"/>
  <c r="H44" i="5" l="1"/>
  <c r="H46" i="5" s="1"/>
  <c r="H17" i="5"/>
  <c r="H15" i="5" s="1"/>
  <c r="H16" i="5"/>
  <c r="F15" i="5"/>
  <c r="E66" i="5"/>
  <c r="E67" i="5" s="1"/>
  <c r="H25" i="5" l="1"/>
  <c r="E68" i="5"/>
  <c r="E70" i="5" s="1"/>
  <c r="C14" i="2"/>
  <c r="C15" i="2" s="1"/>
  <c r="K63" i="2"/>
  <c r="K21" i="1"/>
  <c r="F15" i="1"/>
  <c r="G15" i="1" s="1"/>
  <c r="C21" i="1" s="1"/>
  <c r="E21" i="1" s="1"/>
  <c r="G21" i="1" s="1"/>
  <c r="H26" i="5" l="1"/>
  <c r="H27" i="5" s="1"/>
  <c r="K14" i="5" s="1"/>
  <c r="K32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L64" i="2"/>
  <c r="H21" i="1"/>
  <c r="J78" i="5" l="1"/>
  <c r="K16" i="5"/>
  <c r="K19" i="5" s="1"/>
  <c r="K27" i="5"/>
  <c r="J37" i="5"/>
  <c r="K37" i="5" s="1"/>
  <c r="H89" i="5"/>
  <c r="H82" i="5"/>
  <c r="H73" i="5"/>
  <c r="L65" i="2"/>
  <c r="K64" i="2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20" i="1"/>
  <c r="E19" i="1"/>
  <c r="G19" i="1" s="1"/>
  <c r="K25" i="2"/>
  <c r="K44" i="2"/>
  <c r="H100" i="5" l="1"/>
  <c r="H19" i="1"/>
  <c r="F5" i="2"/>
  <c r="G5" i="2" s="1"/>
  <c r="H5" i="2" s="1"/>
  <c r="L45" i="2"/>
  <c r="L44" i="2"/>
  <c r="L26" i="2"/>
  <c r="L25" i="2"/>
  <c r="C16" i="2"/>
  <c r="C18" i="2" s="1"/>
  <c r="H20" i="1" l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Q14" i="2" l="1"/>
  <c r="W9" i="2"/>
  <c r="S9" i="2" s="1"/>
  <c r="S15" i="2" s="1"/>
</calcChain>
</file>

<file path=xl/sharedStrings.xml><?xml version="1.0" encoding="utf-8"?>
<sst xmlns="http://schemas.openxmlformats.org/spreadsheetml/2006/main" count="225" uniqueCount="153">
  <si>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</si>
  <si>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</si>
  <si>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</si>
  <si>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</si>
  <si>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</si>
  <si>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</si>
  <si>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</si>
  <si>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</si>
  <si>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</si>
  <si>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</si>
  <si>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</si>
  <si>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</si>
  <si>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</si>
  <si>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</si>
  <si>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</si>
  <si>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</si>
  <si>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</si>
  <si>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</si>
  <si>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</si>
  <si>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</si>
  <si>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</si>
  <si>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</si>
  <si>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</si>
  <si>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</si>
  <si>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</si>
  <si>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</si>
  <si>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</si>
  <si>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</si>
  <si>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</si>
  <si>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</si>
  <si>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</si>
  <si>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</si>
  <si>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</si>
  <si>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</si>
  <si>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</si>
  <si>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</si>
  <si>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</si>
  <si>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</si>
  <si>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</si>
  <si>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</si>
  <si>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</si>
  <si>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</si>
  <si>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</si>
  <si>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</si>
  <si>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</si>
  <si>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</si>
  <si>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</si>
  <si>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</si>
  <si>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</si>
  <si>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</si>
  <si>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</si>
  <si>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</si>
  <si>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</si>
  <si>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</si>
  <si>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</si>
  <si>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</si>
  <si>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</si>
  <si>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</si>
  <si>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</si>
  <si>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</si>
  <si>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</si>
  <si>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</si>
  <si>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</si>
  <si>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</si>
  <si>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</si>
  <si>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</si>
  <si>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</si>
  <si>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</si>
  <si>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</si>
  <si>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</si>
  <si>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</si>
  <si>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</si>
  <si>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</si>
  <si>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</si>
  <si>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</si>
  <si>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</si>
  <si>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</si>
  <si>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</si>
  <si>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</si>
  <si>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</si>
  <si>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</si>
  <si>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15% Savings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</si>
  <si>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</si>
  <si>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</si>
  <si>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</si>
  <si>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</si>
  <si>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</si>
  <si>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</si>
  <si>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</si>
  <si>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</si>
  <si>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</si>
  <si>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</si>
  <si>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</si>
  <si>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</si>
  <si>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</si>
  <si>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</si>
  <si>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</si>
  <si>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</si>
  <si>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</si>
  <si>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</si>
  <si>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</si>
  <si>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</si>
  <si>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</si>
  <si>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</si>
  <si>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</si>
  <si>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</si>
  <si>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</si>
  <si>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</si>
  <si>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</si>
  <si>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</si>
  <si>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</si>
  <si>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</si>
  <si>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</si>
  <si>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</si>
  <si>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</si>
  <si>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</si>
  <si>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</si>
  <si>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</si>
  <si>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</si>
  <si>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</si>
  <si>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</si>
  <si>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</si>
  <si>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</si>
  <si>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</si>
  <si>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</si>
  <si>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</si>
  <si>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</si>
  <si>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</si>
  <si>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</si>
  <si>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</si>
  <si>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</si>
  <si>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</si>
  <si>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</si>
  <si>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</si>
  <si>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</si>
  <si>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</si>
  <si>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</si>
  <si>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</si>
  <si>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</si>
  <si>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</si>
  <si>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</si>
  <si>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Redrawing 2D into 3D</t>
  </si>
  <si>
    <t>Design of building</t>
  </si>
  <si>
    <t>Site Visit</t>
  </si>
  <si>
    <t>Technical Drawings</t>
  </si>
  <si>
    <t>Measure + Drawing</t>
  </si>
  <si>
    <t>Travel</t>
  </si>
  <si>
    <t xml:space="preserve">m² / Km </t>
  </si>
  <si>
    <t>New area</t>
  </si>
  <si>
    <t>Internal Alterations</t>
  </si>
  <si>
    <t>Admin</t>
  </si>
  <si>
    <t>New building</t>
  </si>
  <si>
    <t>Alterations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</si>
</sst>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General&quot; Months&quot;"/>
    <numFmt numFmtId="171" formatCode="General&quot; Days&quot;"/>
    <numFmt numFmtId="172" formatCode="General&quot; km&quot;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10" fontId="4" fillId="0" borderId="0" xfId="3" applyNumberFormat="1" applyFont="1"/>
    <xf numFmtId="0" fontId="0" fillId="0" borderId="0" xfId="0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0" fontId="0" fillId="0" borderId="48" xfId="0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3" xfId="0" applyFont="1" applyBorder="1"/>
    <xf numFmtId="44" fontId="4" fillId="0" borderId="24" xfId="0" applyNumberFormat="1" applyFont="1" applyBorder="1"/>
    <xf numFmtId="164" fontId="4" fillId="0" borderId="53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2" xfId="0" applyFont="1" applyBorder="1"/>
    <xf numFmtId="169" fontId="4" fillId="0" borderId="2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0" fontId="4" fillId="0" borderId="53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171" fontId="4" fillId="0" borderId="53" xfId="0" applyNumberFormat="1" applyFont="1" applyBorder="1" applyAlignment="1">
      <alignment horizontal="center"/>
    </xf>
    <xf numFmtId="8" fontId="0" fillId="0" borderId="0" xfId="0" applyNumberFormat="1"/>
    <xf numFmtId="172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2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10" borderId="52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44" fontId="8" fillId="10" borderId="52" xfId="0" applyNumberFormat="1" applyFont="1" applyFill="1" applyBorder="1" applyAlignment="1">
      <alignment horizontal="center" vertical="top"/>
    </xf>
    <xf numFmtId="44" fontId="8" fillId="10" borderId="24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2" fontId="4" fillId="0" borderId="0" xfId="0" applyNumberFormat="1" applyFont="1"/>
    <xf numFmtId="0" fontId="4" fillId="6" borderId="2" xfId="0" applyFont="1" applyFill="1" applyBorder="1" applyAlignment="1"/>
    <xf numFmtId="2" fontId="4" fillId="6" borderId="2" xfId="0" applyNumberFormat="1" applyFont="1" applyFill="1" applyBorder="1" applyAlignment="1"/>
    <xf numFmtId="0" fontId="4" fillId="6" borderId="2" xfId="0" applyFont="1" applyFill="1" applyBorder="1" applyAlignment="1">
      <alignment horizontal="left" vertical="center"/>
    </xf>
    <xf numFmtId="0" fontId="0" fillId="9" borderId="13" xfId="0" applyFill="1" applyBorder="1"/>
    <xf numFmtId="2" fontId="4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left"/>
    </xf>
    <xf numFmtId="44" fontId="8" fillId="0" borderId="2" xfId="0" applyNumberFormat="1" applyFont="1" applyBorder="1" applyAlignment="1">
      <alignment horizontal="center"/>
    </xf>
    <xf numFmtId="44" fontId="19" fillId="4" borderId="11" xfId="1" applyNumberFormat="1" applyFont="1" applyFill="1" applyBorder="1" applyAlignment="1">
      <alignment horizontal="center" vertical="center"/>
    </xf>
    <xf numFmtId="44" fontId="19" fillId="4" borderId="12" xfId="1" applyNumberFormat="1" applyFont="1" applyFill="1" applyBorder="1" applyAlignment="1">
      <alignment horizontal="center" vertical="center"/>
    </xf>
    <xf numFmtId="44" fontId="19" fillId="4" borderId="13" xfId="1" applyNumberFormat="1" applyFont="1" applyFill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193"/>
      <c r="B1" s="193"/>
      <c r="C1" s="193"/>
      <c r="D1" s="193"/>
      <c r="E1" s="193"/>
      <c r="F1" s="193"/>
      <c r="G1" s="193"/>
    </row>
    <row r="2" spans="1:11" x14ac:dyDescent="0.3">
      <c r="A2" s="193"/>
      <c r="B2" s="193"/>
      <c r="C2" s="193"/>
      <c r="D2" s="193"/>
      <c r="E2" s="193"/>
      <c r="F2" s="193"/>
      <c r="G2" s="193"/>
    </row>
    <row r="3" spans="1:11" x14ac:dyDescent="0.3">
      <c r="A3" s="193"/>
      <c r="B3" s="193"/>
      <c r="C3" s="193"/>
      <c r="D3" s="193"/>
      <c r="E3" s="193"/>
      <c r="F3" s="193"/>
      <c r="G3" s="193"/>
    </row>
    <row r="4" spans="1:11" x14ac:dyDescent="0.3">
      <c r="A4" s="193"/>
      <c r="B4" s="193"/>
      <c r="C4" s="193"/>
      <c r="D4" s="193"/>
      <c r="E4" s="193"/>
      <c r="F4" s="193"/>
      <c r="G4" s="193"/>
    </row>
    <row r="5" spans="1:11" x14ac:dyDescent="0.3">
      <c r="A5" s="193"/>
      <c r="B5" s="193"/>
      <c r="C5" s="193"/>
      <c r="D5" s="193"/>
      <c r="E5" s="193"/>
      <c r="F5" s="193"/>
      <c r="G5" s="193"/>
    </row>
    <row r="6" spans="1:11" x14ac:dyDescent="0.3">
      <c r="A6" s="193"/>
      <c r="B6" s="193"/>
      <c r="C6" s="193"/>
      <c r="D6" s="193"/>
      <c r="E6" s="193"/>
      <c r="F6" s="193"/>
      <c r="G6" s="193"/>
    </row>
    <row r="7" spans="1:11" x14ac:dyDescent="0.3">
      <c r="A7" s="193"/>
      <c r="B7" s="193"/>
      <c r="C7" s="193"/>
      <c r="D7" s="193"/>
      <c r="E7" s="193"/>
      <c r="F7" s="193"/>
      <c r="G7" s="193"/>
    </row>
    <row r="8" spans="1:11" x14ac:dyDescent="0.3">
      <c r="A8" s="193"/>
      <c r="B8" s="193"/>
      <c r="C8" s="193"/>
      <c r="D8" s="193"/>
      <c r="E8" s="193"/>
      <c r="F8" s="193"/>
      <c r="G8" s="193"/>
    </row>
    <row r="9" spans="1:11" x14ac:dyDescent="0.3">
      <c r="A9" s="193"/>
      <c r="B9" s="193"/>
      <c r="C9" s="193"/>
      <c r="D9" s="193"/>
      <c r="E9" s="193"/>
      <c r="F9" s="193"/>
      <c r="G9" s="193"/>
    </row>
    <row r="10" spans="1:11" x14ac:dyDescent="0.3">
      <c r="A10" s="193"/>
      <c r="B10" s="193"/>
      <c r="C10" s="193"/>
      <c r="D10" s="193"/>
      <c r="E10" s="193"/>
      <c r="F10" s="193"/>
      <c r="G10" s="193"/>
    </row>
    <row r="11" spans="1:11" ht="21" thickBot="1" x14ac:dyDescent="0.35">
      <c r="A11" s="242" t="s">
        <v>7</v>
      </c>
      <c r="B11" s="243"/>
      <c r="C11" s="243"/>
      <c r="D11" s="243"/>
      <c r="E11" s="243"/>
      <c r="F11" s="243"/>
      <c r="G11" s="243"/>
      <c r="I11" s="192"/>
    </row>
    <row r="12" spans="1:11" ht="18.75" customHeight="1" thickBot="1" x14ac:dyDescent="0.35">
      <c r="A12" s="97" t="s">
        <v>88</v>
      </c>
      <c r="B12" s="119" t="s">
        <v>1</v>
      </c>
      <c r="C12" s="96" t="s">
        <v>0</v>
      </c>
      <c r="D12" s="122" t="s">
        <v>101</v>
      </c>
      <c r="E12" s="246" t="s">
        <v>11</v>
      </c>
      <c r="F12" s="246"/>
      <c r="G12" s="198" t="s">
        <v>4</v>
      </c>
    </row>
    <row r="13" spans="1:11" x14ac:dyDescent="0.3">
      <c r="A13" s="154">
        <v>1</v>
      </c>
      <c r="B13" s="194" t="s">
        <v>5</v>
      </c>
      <c r="C13" s="109" t="s">
        <v>2</v>
      </c>
      <c r="D13" s="117">
        <v>40870</v>
      </c>
      <c r="E13" s="189">
        <v>0.15</v>
      </c>
      <c r="F13" s="117">
        <f>D13*E13</f>
        <v>6130.5</v>
      </c>
      <c r="G13" s="197">
        <f>D13+F13</f>
        <v>47000.5</v>
      </c>
      <c r="H13" s="109"/>
      <c r="I13" s="117"/>
    </row>
    <row r="14" spans="1:11" x14ac:dyDescent="0.3">
      <c r="A14" s="154">
        <v>2</v>
      </c>
      <c r="B14" s="191" t="s">
        <v>6</v>
      </c>
      <c r="C14" s="109" t="s">
        <v>2</v>
      </c>
      <c r="D14" s="195">
        <v>38000</v>
      </c>
      <c r="E14" s="189">
        <v>0.15</v>
      </c>
      <c r="F14" s="117">
        <f>D14*E14</f>
        <v>5700</v>
      </c>
      <c r="G14" s="117">
        <f>D14+F14</f>
        <v>43700</v>
      </c>
      <c r="H14" s="109"/>
      <c r="I14" s="109"/>
    </row>
    <row r="15" spans="1:11" x14ac:dyDescent="0.3">
      <c r="A15" s="154">
        <v>3</v>
      </c>
      <c r="B15" s="109" t="s">
        <v>94</v>
      </c>
      <c r="C15" s="109" t="s">
        <v>93</v>
      </c>
      <c r="D15" s="195">
        <v>24000</v>
      </c>
      <c r="E15" s="189">
        <v>0.15</v>
      </c>
      <c r="F15" s="117">
        <f>D15*E15</f>
        <v>3600</v>
      </c>
      <c r="G15" s="117">
        <f>D15+F15</f>
        <v>27600</v>
      </c>
      <c r="H15" s="109" t="s">
        <v>95</v>
      </c>
      <c r="I15" s="109"/>
    </row>
    <row r="16" spans="1:11" x14ac:dyDescent="0.3">
      <c r="A16" s="4"/>
      <c r="K16"/>
    </row>
    <row r="17" spans="1:12" ht="21" thickBot="1" x14ac:dyDescent="0.35">
      <c r="A17" s="244" t="s">
        <v>8</v>
      </c>
      <c r="B17" s="244"/>
      <c r="C17" s="244"/>
      <c r="D17" s="244"/>
      <c r="E17" s="244"/>
      <c r="F17" s="244"/>
      <c r="G17" s="244"/>
      <c r="K17"/>
    </row>
    <row r="18" spans="1:12" ht="18" thickBot="1" x14ac:dyDescent="0.35">
      <c r="A18" s="90" t="s">
        <v>88</v>
      </c>
      <c r="B18" s="120" t="s">
        <v>9</v>
      </c>
      <c r="C18" s="98" t="s">
        <v>12</v>
      </c>
      <c r="D18" s="120" t="s">
        <v>10</v>
      </c>
      <c r="E18" s="98" t="s">
        <v>89</v>
      </c>
      <c r="F18" s="99" t="s">
        <v>72</v>
      </c>
      <c r="G18" s="121" t="s">
        <v>13</v>
      </c>
      <c r="H18" s="116" t="s">
        <v>73</v>
      </c>
      <c r="I18" s="114"/>
      <c r="J18" s="115"/>
      <c r="K18"/>
    </row>
    <row r="19" spans="1:12" x14ac:dyDescent="0.3">
      <c r="A19" s="154">
        <v>1</v>
      </c>
      <c r="B19" s="191">
        <v>21</v>
      </c>
      <c r="C19" s="195">
        <f>G13/B19</f>
        <v>2238.1190476190477</v>
      </c>
      <c r="D19" s="191">
        <v>8</v>
      </c>
      <c r="E19" s="190">
        <f>C19/D19</f>
        <v>279.76488095238096</v>
      </c>
      <c r="F19" s="191">
        <v>2.4</v>
      </c>
      <c r="G19" s="196">
        <f>ROUNDUP(E19*F19,-0.5)</f>
        <v>672</v>
      </c>
      <c r="H19" s="245">
        <f>G19*D19</f>
        <v>5376</v>
      </c>
      <c r="I19" s="245"/>
      <c r="J19" s="245"/>
      <c r="K19" s="109" t="s">
        <v>92</v>
      </c>
      <c r="L19" s="109" t="s">
        <v>2</v>
      </c>
    </row>
    <row r="20" spans="1:12" x14ac:dyDescent="0.3">
      <c r="A20" s="154">
        <v>2</v>
      </c>
      <c r="B20" s="191">
        <v>21</v>
      </c>
      <c r="C20" s="195">
        <f>G14/B20</f>
        <v>2080.9523809523807</v>
      </c>
      <c r="D20" s="191">
        <v>8</v>
      </c>
      <c r="E20" s="190">
        <f>C20/D20</f>
        <v>260.11904761904759</v>
      </c>
      <c r="F20" s="191">
        <v>2.4</v>
      </c>
      <c r="G20" s="196">
        <v>672</v>
      </c>
      <c r="H20" s="241">
        <f>G20*D20</f>
        <v>5376</v>
      </c>
      <c r="I20" s="241"/>
      <c r="J20" s="241"/>
      <c r="K20" s="109" t="s">
        <v>76</v>
      </c>
      <c r="L20" s="109" t="s">
        <v>2</v>
      </c>
    </row>
    <row r="21" spans="1:12" x14ac:dyDescent="0.3">
      <c r="A21" s="154">
        <v>3</v>
      </c>
      <c r="B21" s="109">
        <v>21</v>
      </c>
      <c r="C21" s="117">
        <f>G15/B21</f>
        <v>1314.2857142857142</v>
      </c>
      <c r="D21" s="191">
        <v>8</v>
      </c>
      <c r="E21" s="190">
        <f>C21/D21</f>
        <v>164.28571428571428</v>
      </c>
      <c r="F21" s="109">
        <v>2.4</v>
      </c>
      <c r="G21" s="196">
        <f>ROUNDUP(E21*F21,-0.5)</f>
        <v>395</v>
      </c>
      <c r="H21" s="241">
        <f>G21*D21</f>
        <v>3160</v>
      </c>
      <c r="I21" s="241"/>
      <c r="J21" s="241"/>
      <c r="K21" s="109" t="str">
        <f>B15</f>
        <v>Johan Hugo</v>
      </c>
      <c r="L21" s="109" t="s">
        <v>96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49" zoomScaleNormal="100" workbookViewId="0">
      <selection activeCell="K74" sqref="J74:K76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193"/>
      <c r="B1" s="193"/>
      <c r="C1" s="193"/>
      <c r="D1" s="193"/>
      <c r="E1" s="193"/>
      <c r="F1" s="193"/>
      <c r="G1" s="193"/>
      <c r="H1" s="193"/>
      <c r="I1" s="1"/>
      <c r="K1" s="1"/>
    </row>
    <row r="2" spans="1:11" ht="17.25" x14ac:dyDescent="0.3">
      <c r="A2" s="193"/>
      <c r="B2" s="193"/>
      <c r="C2" s="193"/>
      <c r="D2" s="193"/>
      <c r="E2" s="193"/>
      <c r="F2" s="193"/>
      <c r="G2" s="193"/>
      <c r="H2" s="193"/>
      <c r="I2" s="2"/>
    </row>
    <row r="3" spans="1:11" ht="17.25" x14ac:dyDescent="0.3">
      <c r="A3" s="193"/>
      <c r="B3" s="193"/>
      <c r="C3" s="193"/>
      <c r="D3" s="193"/>
      <c r="E3" s="193"/>
      <c r="F3" s="193"/>
      <c r="G3" s="193"/>
      <c r="H3" s="193"/>
      <c r="I3" s="2"/>
    </row>
    <row r="4" spans="1:11" ht="17.25" x14ac:dyDescent="0.3">
      <c r="A4" s="193"/>
      <c r="B4" s="193"/>
      <c r="C4" s="193"/>
      <c r="D4" s="193"/>
      <c r="E4" s="193"/>
      <c r="F4" s="193"/>
      <c r="G4" s="193"/>
      <c r="H4" s="193"/>
      <c r="I4" s="2"/>
    </row>
    <row r="5" spans="1:11" ht="17.25" x14ac:dyDescent="0.3">
      <c r="A5" s="193"/>
      <c r="B5" s="193"/>
      <c r="C5" s="193"/>
      <c r="D5" s="193"/>
      <c r="E5" s="193"/>
      <c r="F5" s="193"/>
      <c r="G5" s="193"/>
      <c r="H5" s="193"/>
      <c r="I5" s="2"/>
    </row>
    <row r="6" spans="1:11" ht="17.25" x14ac:dyDescent="0.3">
      <c r="A6" s="193"/>
      <c r="B6" s="193"/>
      <c r="C6" s="193"/>
      <c r="D6" s="193"/>
      <c r="E6" s="193"/>
      <c r="F6" s="193"/>
      <c r="G6" s="193"/>
      <c r="H6" s="193"/>
      <c r="I6" s="1"/>
    </row>
    <row r="7" spans="1:11" ht="17.25" x14ac:dyDescent="0.3">
      <c r="A7" s="193"/>
      <c r="B7" s="193"/>
      <c r="C7" s="193"/>
      <c r="D7" s="193"/>
      <c r="E7" s="193"/>
      <c r="F7" s="193"/>
      <c r="G7" s="193"/>
      <c r="H7" s="193"/>
      <c r="I7" s="2"/>
    </row>
    <row r="8" spans="1:11" ht="17.25" x14ac:dyDescent="0.3">
      <c r="A8" s="193"/>
      <c r="B8" s="193"/>
      <c r="C8" s="193"/>
      <c r="D8" s="193"/>
      <c r="E8" s="193"/>
      <c r="F8" s="193"/>
      <c r="G8" s="193"/>
      <c r="H8" s="193"/>
      <c r="I8" s="2"/>
    </row>
    <row r="9" spans="1:11" ht="17.25" x14ac:dyDescent="0.3">
      <c r="A9" s="193"/>
      <c r="B9" s="193"/>
      <c r="C9" s="193"/>
      <c r="D9" s="193"/>
      <c r="E9" s="193"/>
      <c r="F9" s="193"/>
      <c r="G9" s="193"/>
      <c r="H9" s="193"/>
      <c r="I9" s="1"/>
    </row>
    <row r="10" spans="1:11" ht="18" thickBot="1" x14ac:dyDescent="0.35">
      <c r="A10" s="193"/>
      <c r="B10" s="193"/>
      <c r="C10" s="193"/>
      <c r="D10" s="193"/>
      <c r="E10" s="193"/>
      <c r="F10" s="193"/>
      <c r="G10" s="193"/>
      <c r="H10" s="193"/>
      <c r="I10" s="2"/>
    </row>
    <row r="11" spans="1:11" ht="21" thickBot="1" x14ac:dyDescent="0.35">
      <c r="A11" s="265" t="s">
        <v>14</v>
      </c>
      <c r="B11" s="266"/>
      <c r="C11" s="266"/>
      <c r="D11" s="266"/>
      <c r="E11" s="266"/>
      <c r="F11" s="266"/>
      <c r="G11" s="266"/>
      <c r="H11" s="267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268" t="s">
        <v>65</v>
      </c>
      <c r="B13" s="269"/>
      <c r="C13" s="270"/>
      <c r="D13" s="1"/>
      <c r="E13" s="4" t="s">
        <v>66</v>
      </c>
      <c r="F13" s="1"/>
      <c r="G13" s="1"/>
      <c r="H13" s="1"/>
      <c r="J13" s="263" t="s">
        <v>131</v>
      </c>
      <c r="K13" s="264"/>
    </row>
    <row r="14" spans="1:11" ht="18" thickBot="1" x14ac:dyDescent="0.35">
      <c r="A14" s="271" t="s">
        <v>61</v>
      </c>
      <c r="B14" s="253"/>
      <c r="C14" s="253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26" t="s">
        <v>90</v>
      </c>
      <c r="K14" s="227">
        <f>IF(H27=0,H46,H27)</f>
        <v>51600.004799999995</v>
      </c>
    </row>
    <row r="15" spans="1:11" ht="18" thickBot="1" x14ac:dyDescent="0.35">
      <c r="A15" s="272" t="s">
        <v>80</v>
      </c>
      <c r="B15" s="273"/>
      <c r="C15" s="71"/>
      <c r="D15" s="71"/>
      <c r="E15" s="71"/>
      <c r="F15" s="76">
        <f>SUM(F16:F30)</f>
        <v>0</v>
      </c>
      <c r="G15" s="220">
        <f>SUM(G16:G22)</f>
        <v>0</v>
      </c>
      <c r="H15" s="173">
        <f>SUM(H16:H22)</f>
        <v>0</v>
      </c>
      <c r="I15" s="1"/>
      <c r="J15" s="232" t="s">
        <v>123</v>
      </c>
      <c r="K15" s="228">
        <f>SUM(H22:H22)</f>
        <v>0</v>
      </c>
    </row>
    <row r="16" spans="1:11" ht="17.25" x14ac:dyDescent="0.3">
      <c r="A16" s="168"/>
      <c r="B16" s="221"/>
      <c r="C16" s="221"/>
      <c r="D16" s="60"/>
      <c r="E16" s="60"/>
      <c r="F16" s="3"/>
      <c r="G16" s="169">
        <f>F16/8</f>
        <v>0</v>
      </c>
      <c r="H16" s="171">
        <f t="shared" ref="H16:H21" si="0">F16*E16</f>
        <v>0</v>
      </c>
      <c r="I16" s="1"/>
      <c r="J16" s="234" t="s">
        <v>125</v>
      </c>
      <c r="K16" s="211">
        <f>K14-K15</f>
        <v>51600.004799999995</v>
      </c>
    </row>
    <row r="17" spans="1:11" ht="17.25" x14ac:dyDescent="0.3">
      <c r="A17" s="1" t="s">
        <v>145</v>
      </c>
      <c r="D17" s="60" t="s">
        <v>2</v>
      </c>
      <c r="E17" s="60">
        <v>672</v>
      </c>
      <c r="F17" s="3"/>
      <c r="G17" s="169">
        <f>F17/8</f>
        <v>0</v>
      </c>
      <c r="H17" s="171">
        <f t="shared" si="0"/>
        <v>0</v>
      </c>
      <c r="I17" s="1"/>
    </row>
    <row r="18" spans="1:11" ht="17.25" x14ac:dyDescent="0.3">
      <c r="A18" s="1" t="s">
        <v>141</v>
      </c>
      <c r="D18" s="60" t="s">
        <v>2</v>
      </c>
      <c r="E18" s="60">
        <v>672</v>
      </c>
      <c r="F18" s="3"/>
      <c r="G18" s="169">
        <f>F18/8</f>
        <v>0</v>
      </c>
      <c r="H18" s="171">
        <f t="shared" si="0"/>
        <v>0</v>
      </c>
      <c r="I18" s="1"/>
      <c r="J18" s="254" t="s">
        <v>128</v>
      </c>
      <c r="K18" s="255"/>
    </row>
    <row r="19" spans="1:11" ht="17.25" x14ac:dyDescent="0.3">
      <c r="A19" s="1" t="s">
        <v>142</v>
      </c>
      <c r="B19" s="1"/>
      <c r="C19" s="1"/>
      <c r="D19" s="60" t="s">
        <v>2</v>
      </c>
      <c r="E19" s="60">
        <v>672</v>
      </c>
      <c r="F19" s="3"/>
      <c r="G19" s="169">
        <f>F19/8</f>
        <v>0</v>
      </c>
      <c r="H19" s="171">
        <f t="shared" si="0"/>
        <v>0</v>
      </c>
      <c r="I19" s="1"/>
      <c r="J19" s="232" t="s">
        <v>126</v>
      </c>
      <c r="K19" s="233">
        <f>K16*0.7</f>
        <v>36120.003359999995</v>
      </c>
    </row>
    <row r="20" spans="1:11" ht="17.25" x14ac:dyDescent="0.3">
      <c r="A20" s="1" t="s">
        <v>144</v>
      </c>
      <c r="D20" s="60" t="s">
        <v>2</v>
      </c>
      <c r="E20" s="60">
        <v>672</v>
      </c>
      <c r="F20" s="3"/>
      <c r="G20" s="169">
        <f>F20/8</f>
        <v>0</v>
      </c>
      <c r="H20" s="171">
        <f t="shared" si="0"/>
        <v>0</v>
      </c>
      <c r="I20" s="1"/>
    </row>
    <row r="21" spans="1:11" ht="17.25" x14ac:dyDescent="0.3">
      <c r="A21" s="1" t="s">
        <v>143</v>
      </c>
      <c r="B21" s="1"/>
      <c r="C21" s="1"/>
      <c r="D21" s="60" t="s">
        <v>2</v>
      </c>
      <c r="E21" s="60">
        <v>672</v>
      </c>
      <c r="F21" s="3"/>
      <c r="G21" s="169"/>
      <c r="H21" s="171">
        <f t="shared" si="0"/>
        <v>0</v>
      </c>
      <c r="I21" s="1"/>
      <c r="J21" s="254" t="s">
        <v>129</v>
      </c>
      <c r="K21" s="255"/>
    </row>
    <row r="22" spans="1:11" ht="17.25" x14ac:dyDescent="0.3">
      <c r="A22" s="1"/>
      <c r="B22" s="1"/>
      <c r="D22" s="225"/>
      <c r="E22" s="60"/>
      <c r="F22" s="3"/>
      <c r="G22" s="169"/>
      <c r="H22" s="171"/>
      <c r="I22" s="1"/>
      <c r="J22" s="226" t="s">
        <v>127</v>
      </c>
      <c r="K22" s="227">
        <f>K16-K19</f>
        <v>15480.00144</v>
      </c>
    </row>
    <row r="23" spans="1:11" ht="17.25" x14ac:dyDescent="0.3">
      <c r="I23" s="1"/>
      <c r="J23" s="230" t="s">
        <v>124</v>
      </c>
      <c r="K23" s="231">
        <f>K15*0.5</f>
        <v>0</v>
      </c>
    </row>
    <row r="24" spans="1:11" ht="17.25" x14ac:dyDescent="0.3">
      <c r="I24" s="1"/>
      <c r="J24" s="206"/>
      <c r="K24" s="229">
        <f>K22+K23</f>
        <v>15480.00144</v>
      </c>
    </row>
    <row r="25" spans="1:11" ht="18" x14ac:dyDescent="0.3">
      <c r="A25" s="73"/>
      <c r="B25" s="73"/>
      <c r="D25" s="92"/>
      <c r="F25" s="92" t="s">
        <v>79</v>
      </c>
      <c r="G25" s="73"/>
      <c r="H25" s="170">
        <f>H15</f>
        <v>0</v>
      </c>
      <c r="I25" s="1"/>
    </row>
    <row r="26" spans="1:11" ht="18.75" thickBot="1" x14ac:dyDescent="0.35">
      <c r="A26" s="73"/>
      <c r="B26" s="73"/>
      <c r="C26" s="73"/>
      <c r="F26" s="92" t="s">
        <v>78</v>
      </c>
      <c r="G26" s="74">
        <v>0</v>
      </c>
      <c r="H26" s="170">
        <f>H25*G26</f>
        <v>0</v>
      </c>
      <c r="I26" s="1"/>
      <c r="J26" s="254" t="s">
        <v>130</v>
      </c>
      <c r="K26" s="255"/>
    </row>
    <row r="27" spans="1:11" ht="19.5" thickBot="1" x14ac:dyDescent="0.35">
      <c r="A27" s="1"/>
      <c r="B27" s="1"/>
      <c r="C27" s="1"/>
      <c r="D27" s="1"/>
      <c r="F27" s="136" t="s">
        <v>69</v>
      </c>
      <c r="G27" s="137"/>
      <c r="H27" s="172">
        <f>(H25-H26)</f>
        <v>0</v>
      </c>
      <c r="I27" s="1"/>
      <c r="J27" s="226" t="s">
        <v>90</v>
      </c>
      <c r="K27" s="227">
        <f>K14</f>
        <v>51600.004799999995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65" t="s">
        <v>133</v>
      </c>
      <c r="K28" s="228">
        <f>K19+K24</f>
        <v>51600.004799999995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15" t="s">
        <v>132</v>
      </c>
      <c r="K29" s="229">
        <f>K27-K28</f>
        <v>0</v>
      </c>
    </row>
    <row r="30" spans="1:11" ht="18" thickBot="1" x14ac:dyDescent="0.35">
      <c r="H30" s="155"/>
      <c r="I30" s="1"/>
    </row>
    <row r="31" spans="1:11" ht="19.5" thickBot="1" x14ac:dyDescent="0.35">
      <c r="A31" s="180" t="s">
        <v>71</v>
      </c>
      <c r="B31" s="149"/>
      <c r="C31" s="150"/>
      <c r="D31" s="1"/>
      <c r="E31" s="3"/>
      <c r="F31" s="1"/>
      <c r="G31" s="1"/>
      <c r="H31" s="1"/>
      <c r="I31" s="1"/>
      <c r="J31" s="1"/>
      <c r="K31" s="93"/>
    </row>
    <row r="32" spans="1:11" ht="18" thickBot="1" x14ac:dyDescent="0.35">
      <c r="A32" s="132" t="s">
        <v>61</v>
      </c>
      <c r="B32" s="123"/>
      <c r="C32" s="123"/>
      <c r="D32" s="123"/>
      <c r="E32" s="123"/>
      <c r="F32" s="123"/>
      <c r="G32" s="185"/>
      <c r="H32" s="124"/>
      <c r="J32" s="281" t="s">
        <v>74</v>
      </c>
      <c r="K32" s="282">
        <f>K14/671/8</f>
        <v>9.6125195230998504</v>
      </c>
    </row>
    <row r="33" spans="1:11" ht="18" thickBot="1" x14ac:dyDescent="0.35">
      <c r="I33" s="1"/>
    </row>
    <row r="34" spans="1:11" ht="18" thickBot="1" x14ac:dyDescent="0.35">
      <c r="A34" s="151" t="s">
        <v>80</v>
      </c>
      <c r="B34" s="152"/>
      <c r="C34" s="71"/>
      <c r="D34" s="123" t="s">
        <v>63</v>
      </c>
      <c r="E34" s="123" t="s">
        <v>70</v>
      </c>
      <c r="F34" s="123" t="s">
        <v>147</v>
      </c>
      <c r="G34" s="184"/>
      <c r="H34" s="173">
        <f>SUM(H36:H43)</f>
        <v>51600.004799999995</v>
      </c>
      <c r="I34" s="1"/>
      <c r="J34" s="222" t="s">
        <v>77</v>
      </c>
      <c r="K34" s="283"/>
    </row>
    <row r="35" spans="1:11" ht="18" thickBot="1" x14ac:dyDescent="0.35">
      <c r="A35" s="240"/>
      <c r="B35" s="240"/>
      <c r="C35" s="1"/>
      <c r="D35" s="3"/>
      <c r="E35" s="3"/>
      <c r="F35" s="3"/>
      <c r="G35" s="4"/>
      <c r="H35" s="171"/>
      <c r="I35" s="1"/>
    </row>
    <row r="36" spans="1:11" ht="18" thickBot="1" x14ac:dyDescent="0.35">
      <c r="A36" s="1" t="s">
        <v>148</v>
      </c>
      <c r="E36" s="118">
        <v>200</v>
      </c>
      <c r="F36" s="1">
        <v>80</v>
      </c>
      <c r="H36" s="171">
        <f>F36*E36</f>
        <v>16000</v>
      </c>
      <c r="I36" s="1"/>
      <c r="J36" s="102" t="s">
        <v>90</v>
      </c>
      <c r="K36" s="103" t="s">
        <v>83</v>
      </c>
    </row>
    <row r="37" spans="1:11" ht="17.25" x14ac:dyDescent="0.3">
      <c r="A37" s="1" t="s">
        <v>149</v>
      </c>
      <c r="D37" s="60"/>
      <c r="E37" s="118">
        <v>170</v>
      </c>
      <c r="F37" s="280">
        <v>183.52943999999999</v>
      </c>
      <c r="H37" s="171">
        <f>F37*E37</f>
        <v>31200.004799999999</v>
      </c>
      <c r="J37" s="104">
        <f>H27</f>
        <v>0</v>
      </c>
      <c r="K37" s="60">
        <f>J37*0.05</f>
        <v>0</v>
      </c>
    </row>
    <row r="38" spans="1:11" ht="18" thickBot="1" x14ac:dyDescent="0.35">
      <c r="A38" s="1" t="s">
        <v>150</v>
      </c>
      <c r="D38" s="60"/>
      <c r="E38" s="118"/>
      <c r="F38" s="1"/>
      <c r="H38" s="171">
        <v>2000</v>
      </c>
    </row>
    <row r="39" spans="1:11" ht="18" thickBot="1" x14ac:dyDescent="0.35">
      <c r="A39" s="1" t="s">
        <v>146</v>
      </c>
      <c r="D39" s="60"/>
      <c r="E39" s="118"/>
      <c r="F39" s="1"/>
      <c r="H39" s="171">
        <v>2400</v>
      </c>
      <c r="J39" s="101" t="s">
        <v>81</v>
      </c>
      <c r="K39" s="284"/>
    </row>
    <row r="40" spans="1:11" ht="15.75" thickBot="1" x14ac:dyDescent="0.3"/>
    <row r="41" spans="1:11" ht="16.5" thickBot="1" x14ac:dyDescent="0.3">
      <c r="J41" s="100" t="s">
        <v>82</v>
      </c>
      <c r="K41" s="284"/>
    </row>
    <row r="42" spans="1:11" ht="17.25" x14ac:dyDescent="0.3">
      <c r="A42" s="1"/>
      <c r="B42" s="1"/>
      <c r="H42" s="171"/>
    </row>
    <row r="44" spans="1:11" ht="18" x14ac:dyDescent="0.25">
      <c r="A44" s="73"/>
      <c r="C44" s="73"/>
      <c r="D44" s="73"/>
      <c r="F44" s="92" t="s">
        <v>99</v>
      </c>
      <c r="G44" s="73"/>
      <c r="H44" s="170">
        <f>H34</f>
        <v>51600.004799999995</v>
      </c>
      <c r="J44" s="155"/>
    </row>
    <row r="45" spans="1:11" ht="18.75" thickBot="1" x14ac:dyDescent="0.3">
      <c r="A45" s="73"/>
      <c r="B45" s="73"/>
      <c r="C45" s="73"/>
      <c r="E45" s="135"/>
      <c r="F45" s="92" t="s">
        <v>78</v>
      </c>
      <c r="G45" s="74">
        <v>0</v>
      </c>
      <c r="H45" s="4"/>
      <c r="J45" s="155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172">
        <f>H44</f>
        <v>51600.004799999995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181" t="s">
        <v>67</v>
      </c>
      <c r="B50" s="182"/>
      <c r="C50" s="183"/>
      <c r="D50" s="1"/>
      <c r="E50" s="1"/>
      <c r="F50" s="1"/>
      <c r="G50" s="1"/>
      <c r="H50" s="1"/>
    </row>
    <row r="51" spans="1:12" ht="18" thickBot="1" x14ac:dyDescent="0.35">
      <c r="A51" s="132" t="s">
        <v>15</v>
      </c>
      <c r="B51" s="123"/>
      <c r="C51" s="123"/>
      <c r="D51" s="177"/>
      <c r="E51" s="178"/>
      <c r="F51" s="123" t="s">
        <v>70</v>
      </c>
      <c r="G51" s="178" t="s">
        <v>16</v>
      </c>
      <c r="H51" s="179" t="s">
        <v>87</v>
      </c>
    </row>
    <row r="52" spans="1:12" ht="19.5" thickBot="1" x14ac:dyDescent="0.35">
      <c r="A52" s="14"/>
      <c r="B52" s="14"/>
      <c r="C52" s="14"/>
      <c r="D52" s="14"/>
      <c r="E52" s="153"/>
      <c r="F52" s="153"/>
      <c r="G52" s="126"/>
      <c r="H52" s="153"/>
      <c r="K52" s="238" t="s">
        <v>139</v>
      </c>
      <c r="L52" s="179" t="s">
        <v>87</v>
      </c>
    </row>
    <row r="53" spans="1:12" ht="17.25" x14ac:dyDescent="0.3">
      <c r="A53" s="1" t="s">
        <v>151</v>
      </c>
      <c r="B53" s="61"/>
      <c r="C53" s="4"/>
      <c r="D53" s="1"/>
      <c r="E53" s="60"/>
      <c r="F53" s="286">
        <v>12000</v>
      </c>
      <c r="G53" s="3">
        <f>F36</f>
        <v>80</v>
      </c>
      <c r="H53" s="171">
        <f>G53*F53</f>
        <v>960000</v>
      </c>
      <c r="K53" s="77" t="s">
        <v>134</v>
      </c>
      <c r="L53" s="236">
        <v>250000</v>
      </c>
    </row>
    <row r="54" spans="1:12" ht="17.25" x14ac:dyDescent="0.3">
      <c r="A54" s="1" t="s">
        <v>152</v>
      </c>
      <c r="B54" s="61"/>
      <c r="F54" s="286">
        <v>7000</v>
      </c>
      <c r="G54" s="285">
        <f>F37</f>
        <v>183.52943999999999</v>
      </c>
      <c r="H54" s="171">
        <f>G54*F54</f>
        <v>1284706.0799999998</v>
      </c>
      <c r="K54" s="77" t="s">
        <v>135</v>
      </c>
      <c r="L54" s="236">
        <v>167500</v>
      </c>
    </row>
    <row r="55" spans="1:12" ht="17.25" x14ac:dyDescent="0.3">
      <c r="A55" s="1"/>
      <c r="F55" s="235"/>
      <c r="H55" s="60"/>
      <c r="K55" s="77" t="s">
        <v>136</v>
      </c>
      <c r="L55" s="236">
        <v>250000</v>
      </c>
    </row>
    <row r="56" spans="1:12" ht="17.25" x14ac:dyDescent="0.3">
      <c r="A56" s="1"/>
      <c r="F56" s="235"/>
      <c r="G56" s="3"/>
      <c r="H56" s="60"/>
      <c r="K56" s="77" t="s">
        <v>138</v>
      </c>
      <c r="L56" s="236">
        <v>270000</v>
      </c>
    </row>
    <row r="57" spans="1:12" ht="17.25" x14ac:dyDescent="0.3">
      <c r="A57" s="1"/>
      <c r="F57" s="235"/>
      <c r="H57" s="60"/>
      <c r="K57" s="165" t="s">
        <v>137</v>
      </c>
      <c r="L57" s="237">
        <v>50000</v>
      </c>
    </row>
    <row r="58" spans="1:12" ht="18" thickBot="1" x14ac:dyDescent="0.35">
      <c r="A58" s="1"/>
      <c r="B58" s="1"/>
      <c r="C58" s="1"/>
      <c r="D58" s="1" t="s">
        <v>120</v>
      </c>
      <c r="E58" s="60"/>
      <c r="F58" s="60"/>
      <c r="G58" s="3"/>
      <c r="H58" s="60"/>
      <c r="L58" s="155"/>
    </row>
    <row r="59" spans="1:12" ht="19.5" thickBot="1" x14ac:dyDescent="0.35">
      <c r="A59" s="1"/>
      <c r="B59" s="1"/>
      <c r="C59" s="1"/>
      <c r="D59" s="1"/>
      <c r="E59" s="118"/>
      <c r="F59" s="62" t="s">
        <v>3</v>
      </c>
      <c r="G59" s="63">
        <f>SUM(G52:G55)</f>
        <v>263.52944000000002</v>
      </c>
      <c r="H59" s="287">
        <f>SUM(H52:H58)</f>
        <v>2244706.08</v>
      </c>
      <c r="K59" s="238" t="s">
        <v>140</v>
      </c>
      <c r="L59" s="239">
        <v>987500</v>
      </c>
    </row>
    <row r="60" spans="1:12" ht="15.75" thickBot="1" x14ac:dyDescent="0.3"/>
    <row r="61" spans="1:12" ht="19.5" thickBot="1" x14ac:dyDescent="0.35">
      <c r="A61" s="200" t="s">
        <v>37</v>
      </c>
      <c r="B61" s="186"/>
      <c r="C61" s="186"/>
      <c r="D61" s="186"/>
      <c r="E61" s="288">
        <f>H59</f>
        <v>2244706.08</v>
      </c>
      <c r="F61" s="289"/>
      <c r="G61" s="289"/>
      <c r="H61" s="290"/>
      <c r="I61" s="1"/>
    </row>
    <row r="62" spans="1:12" ht="18.75" x14ac:dyDescent="0.3">
      <c r="A62" s="188" t="s">
        <v>84</v>
      </c>
      <c r="B62" s="187"/>
      <c r="C62" s="187"/>
      <c r="D62" s="187"/>
      <c r="E62" s="256" t="s">
        <v>108</v>
      </c>
      <c r="F62" s="256"/>
      <c r="G62" s="256"/>
      <c r="H62" s="256"/>
    </row>
    <row r="63" spans="1:12" ht="15.75" thickBot="1" x14ac:dyDescent="0.3"/>
    <row r="64" spans="1:12" ht="20.25" thickBot="1" x14ac:dyDescent="0.3">
      <c r="A64" s="199" t="s">
        <v>46</v>
      </c>
      <c r="B64" s="59"/>
      <c r="C64" s="59"/>
      <c r="D64" s="59"/>
      <c r="E64" s="59"/>
      <c r="F64" s="59"/>
      <c r="G64" s="59"/>
      <c r="H64" s="131"/>
    </row>
    <row r="66" spans="1:11" ht="17.25" x14ac:dyDescent="0.25">
      <c r="A66" s="128" t="s">
        <v>23</v>
      </c>
      <c r="B66" s="129"/>
      <c r="C66" s="129"/>
      <c r="D66" s="130"/>
      <c r="E66" s="202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312886.84000000003</v>
      </c>
      <c r="F66" s="133"/>
      <c r="G66" s="133"/>
      <c r="H66" s="134"/>
    </row>
    <row r="67" spans="1:11" ht="17.25" x14ac:dyDescent="0.25">
      <c r="A67" s="138" t="s">
        <v>51</v>
      </c>
      <c r="B67" s="61"/>
      <c r="C67" s="61"/>
      <c r="D67" s="139"/>
      <c r="E67" s="203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28606.023852000009</v>
      </c>
      <c r="F67" s="79"/>
      <c r="G67" s="79"/>
      <c r="H67" s="143"/>
    </row>
    <row r="68" spans="1:11" ht="17.25" x14ac:dyDescent="0.25">
      <c r="A68" s="138"/>
      <c r="B68" s="61"/>
      <c r="C68" s="61"/>
      <c r="D68" s="139"/>
      <c r="E68" s="203">
        <f>E66+E67</f>
        <v>341492.86385200004</v>
      </c>
      <c r="F68" s="79"/>
      <c r="G68" s="79"/>
      <c r="H68" s="143"/>
    </row>
    <row r="69" spans="1:11" ht="17.25" x14ac:dyDescent="0.25">
      <c r="A69" s="138" t="s">
        <v>54</v>
      </c>
      <c r="B69" s="61"/>
      <c r="C69" s="61"/>
      <c r="D69" s="139"/>
      <c r="E69" s="204">
        <v>0</v>
      </c>
      <c r="F69" s="4"/>
      <c r="G69" s="4"/>
      <c r="H69" s="146"/>
    </row>
    <row r="70" spans="1:11" ht="18" x14ac:dyDescent="0.25">
      <c r="A70" s="140" t="s">
        <v>56</v>
      </c>
      <c r="B70" s="141"/>
      <c r="C70" s="141"/>
      <c r="D70" s="142"/>
      <c r="E70" s="205">
        <f>E68+E69</f>
        <v>341492.86385200004</v>
      </c>
      <c r="F70" s="144"/>
      <c r="G70" s="144"/>
      <c r="H70" s="145"/>
    </row>
    <row r="71" spans="1:11" ht="15.75" thickBot="1" x14ac:dyDescent="0.3"/>
    <row r="72" spans="1:11" ht="19.5" thickBot="1" x14ac:dyDescent="0.35">
      <c r="A72" s="201" t="s">
        <v>38</v>
      </c>
      <c r="B72" s="147"/>
      <c r="C72" s="147"/>
      <c r="D72" s="148"/>
      <c r="E72" s="108" t="s">
        <v>39</v>
      </c>
      <c r="F72" s="108" t="s">
        <v>103</v>
      </c>
      <c r="G72" s="125" t="s">
        <v>68</v>
      </c>
      <c r="H72" s="108" t="s">
        <v>102</v>
      </c>
    </row>
    <row r="73" spans="1:11" ht="17.25" x14ac:dyDescent="0.3">
      <c r="A73" s="84" t="s">
        <v>113</v>
      </c>
      <c r="B73" s="126" t="s">
        <v>117</v>
      </c>
      <c r="C73" s="126"/>
      <c r="D73" s="126"/>
      <c r="E73" s="105">
        <v>0.02</v>
      </c>
      <c r="F73" s="83">
        <f>$E$70*E73</f>
        <v>6829.8572770400006</v>
      </c>
      <c r="G73" s="105"/>
      <c r="H73" s="106">
        <f>IF(G73=0,F73,F73-(F73*G73))</f>
        <v>6829.8572770400006</v>
      </c>
    </row>
    <row r="74" spans="1:11" ht="17.25" x14ac:dyDescent="0.3">
      <c r="A74" s="88" t="s">
        <v>112</v>
      </c>
      <c r="B74" s="3" t="s">
        <v>115</v>
      </c>
      <c r="C74" s="3"/>
      <c r="D74" s="3"/>
      <c r="E74" s="208">
        <v>0.15</v>
      </c>
      <c r="F74" s="5">
        <f t="shared" ref="F74:F79" si="1">$E$70*E74</f>
        <v>51223.929577800001</v>
      </c>
      <c r="G74" s="208"/>
      <c r="H74" s="87">
        <f t="shared" ref="H74:H79" si="2">IF(G74=0,F74,F74-(F74*G74))</f>
        <v>51223.929577800001</v>
      </c>
    </row>
    <row r="75" spans="1:11" ht="17.25" x14ac:dyDescent="0.3">
      <c r="A75" s="88" t="s">
        <v>111</v>
      </c>
      <c r="B75" s="3" t="s">
        <v>114</v>
      </c>
      <c r="C75" s="3"/>
      <c r="D75" s="3"/>
      <c r="E75" s="208">
        <v>0.2</v>
      </c>
      <c r="F75" s="5">
        <f t="shared" si="1"/>
        <v>68298.572770400016</v>
      </c>
      <c r="G75" s="208"/>
      <c r="H75" s="87">
        <f t="shared" si="2"/>
        <v>68298.572770400016</v>
      </c>
      <c r="J75" s="217"/>
    </row>
    <row r="76" spans="1:11" ht="17.25" x14ac:dyDescent="0.3">
      <c r="A76" s="88" t="s">
        <v>47</v>
      </c>
      <c r="B76" s="3" t="s">
        <v>48</v>
      </c>
      <c r="C76" s="3"/>
      <c r="D76" s="3"/>
      <c r="E76" s="208">
        <v>0.1</v>
      </c>
      <c r="F76" s="5">
        <f t="shared" si="1"/>
        <v>34149.286385200008</v>
      </c>
      <c r="G76" s="208"/>
      <c r="H76" s="87">
        <f t="shared" si="2"/>
        <v>34149.286385200008</v>
      </c>
      <c r="J76" s="217"/>
      <c r="K76" s="93"/>
    </row>
    <row r="77" spans="1:11" ht="17.25" x14ac:dyDescent="0.3">
      <c r="A77" s="88" t="s">
        <v>59</v>
      </c>
      <c r="B77" s="3" t="s">
        <v>49</v>
      </c>
      <c r="C77" s="3"/>
      <c r="D77" s="3"/>
      <c r="E77" s="208">
        <v>0.2</v>
      </c>
      <c r="F77" s="5">
        <f t="shared" si="1"/>
        <v>68298.572770400016</v>
      </c>
      <c r="G77" s="208"/>
      <c r="H77" s="87">
        <f>IF(G77=0,F77,F77-(F77*G77))</f>
        <v>68298.572770400016</v>
      </c>
      <c r="J77" s="217"/>
      <c r="K77" s="93"/>
    </row>
    <row r="78" spans="1:11" ht="17.25" x14ac:dyDescent="0.3">
      <c r="A78" s="88" t="s">
        <v>52</v>
      </c>
      <c r="B78" s="3" t="s">
        <v>116</v>
      </c>
      <c r="C78" s="3"/>
      <c r="D78" s="3"/>
      <c r="E78" s="208">
        <v>0.3</v>
      </c>
      <c r="F78" s="5">
        <f t="shared" si="1"/>
        <v>102447.8591556</v>
      </c>
      <c r="G78" s="208"/>
      <c r="H78" s="87">
        <f>IF(G78=0,F78,F78-(F78*G78))</f>
        <v>102447.8591556</v>
      </c>
      <c r="J78" s="217">
        <f>H78+H79</f>
        <v>112692.64507116</v>
      </c>
    </row>
    <row r="79" spans="1:11" ht="18" thickBot="1" x14ac:dyDescent="0.35">
      <c r="A79" s="89" t="s">
        <v>110</v>
      </c>
      <c r="B79" s="127" t="s">
        <v>109</v>
      </c>
      <c r="C79" s="127"/>
      <c r="D79" s="127"/>
      <c r="E79" s="107">
        <v>0.03</v>
      </c>
      <c r="F79" s="85">
        <f t="shared" si="1"/>
        <v>10244.78591556</v>
      </c>
      <c r="G79" s="107"/>
      <c r="H79" s="86">
        <f t="shared" si="2"/>
        <v>10244.78591556</v>
      </c>
      <c r="J79" s="21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257" t="s">
        <v>91</v>
      </c>
      <c r="F81" s="258"/>
      <c r="G81" s="259"/>
      <c r="H81" s="113">
        <f>H82*(1-(SUM(H73:H79)/H82))</f>
        <v>0</v>
      </c>
    </row>
    <row r="82" spans="1:11" ht="19.5" thickBot="1" x14ac:dyDescent="0.35">
      <c r="B82" s="109"/>
      <c r="C82" s="109"/>
      <c r="E82" s="257" t="s">
        <v>55</v>
      </c>
      <c r="F82" s="258"/>
      <c r="G82" s="259"/>
      <c r="H82" s="113">
        <f>SUM(F73:F79)</f>
        <v>341492.86385200004</v>
      </c>
      <c r="J82" s="93"/>
    </row>
    <row r="83" spans="1:11" ht="15.75" thickBot="1" x14ac:dyDescent="0.3"/>
    <row r="84" spans="1:11" ht="18.75" thickBot="1" x14ac:dyDescent="0.3">
      <c r="E84" s="260" t="s">
        <v>100</v>
      </c>
      <c r="F84" s="261"/>
      <c r="G84" s="262"/>
      <c r="H84" s="110">
        <f>H82-H81</f>
        <v>341492.86385200004</v>
      </c>
    </row>
    <row r="85" spans="1:11" ht="17.25" x14ac:dyDescent="0.3">
      <c r="A85" s="1"/>
      <c r="B85" s="207"/>
      <c r="C85" s="174"/>
      <c r="D85" s="174"/>
      <c r="E85" s="60"/>
      <c r="F85" s="156"/>
      <c r="G85" s="4"/>
      <c r="H85" s="79"/>
    </row>
    <row r="86" spans="1:11" ht="17.25" x14ac:dyDescent="0.3">
      <c r="D86" s="1"/>
      <c r="E86" s="60"/>
      <c r="F86" s="60"/>
      <c r="G86" s="3"/>
      <c r="J86" s="60">
        <v>1466117.4315939997</v>
      </c>
      <c r="K86" s="93"/>
    </row>
    <row r="87" spans="1:11" ht="17.25" x14ac:dyDescent="0.3">
      <c r="D87" s="251" t="s">
        <v>118</v>
      </c>
      <c r="E87" s="252"/>
      <c r="F87" s="219">
        <f>COUNT(D92:E97)</f>
        <v>3</v>
      </c>
      <c r="G87" s="210"/>
      <c r="H87" s="211">
        <f>SUM(J87)/F87</f>
        <v>24435.290526566663</v>
      </c>
      <c r="J87" s="93">
        <f>J86*0.05</f>
        <v>73305.87157969999</v>
      </c>
    </row>
    <row r="88" spans="1:11" ht="17.25" x14ac:dyDescent="0.3">
      <c r="D88" s="1"/>
      <c r="E88" s="1"/>
      <c r="F88" s="1"/>
      <c r="G88" s="1"/>
      <c r="H88" s="1"/>
      <c r="J88" s="93"/>
    </row>
    <row r="89" spans="1:11" ht="17.25" x14ac:dyDescent="0.3">
      <c r="D89" s="251" t="s">
        <v>121</v>
      </c>
      <c r="E89" s="252"/>
      <c r="F89" s="223">
        <v>22</v>
      </c>
      <c r="G89" s="212"/>
      <c r="H89" s="211">
        <f>H87/F89</f>
        <v>1110.6950239348482</v>
      </c>
    </row>
    <row r="90" spans="1:11" ht="17.25" x14ac:dyDescent="0.3">
      <c r="D90" s="1"/>
      <c r="E90" s="1"/>
      <c r="F90" s="1"/>
      <c r="G90" s="1"/>
      <c r="H90" s="1"/>
      <c r="K90" s="224"/>
    </row>
    <row r="91" spans="1:11" ht="17.25" x14ac:dyDescent="0.3">
      <c r="D91" s="247" t="s">
        <v>104</v>
      </c>
      <c r="E91" s="248"/>
      <c r="F91" s="248" t="s">
        <v>105</v>
      </c>
      <c r="G91" s="248"/>
      <c r="H91" s="213" t="s">
        <v>106</v>
      </c>
    </row>
    <row r="92" spans="1:11" ht="17.25" x14ac:dyDescent="0.3">
      <c r="D92" s="253">
        <v>1</v>
      </c>
      <c r="E92" s="253"/>
      <c r="F92" s="250">
        <v>2</v>
      </c>
      <c r="G92" s="250"/>
      <c r="H92" s="214">
        <f>$H$87</f>
        <v>24435.290526566663</v>
      </c>
    </row>
    <row r="93" spans="1:11" ht="17.25" x14ac:dyDescent="0.3">
      <c r="D93" s="250">
        <v>2</v>
      </c>
      <c r="E93" s="250"/>
      <c r="F93" s="250">
        <v>2</v>
      </c>
      <c r="G93" s="250"/>
      <c r="H93" s="214">
        <f>$H$87</f>
        <v>24435.290526566663</v>
      </c>
    </row>
    <row r="94" spans="1:11" ht="17.25" x14ac:dyDescent="0.3">
      <c r="D94" s="250">
        <v>3</v>
      </c>
      <c r="E94" s="250"/>
      <c r="F94" s="250">
        <v>4</v>
      </c>
      <c r="G94" s="250"/>
      <c r="H94" s="214">
        <f>$H$87</f>
        <v>24435.290526566663</v>
      </c>
    </row>
    <row r="95" spans="1:11" ht="17.25" x14ac:dyDescent="0.3">
      <c r="D95" s="250"/>
      <c r="E95" s="250"/>
      <c r="F95" s="250"/>
      <c r="G95" s="250"/>
      <c r="H95" s="214"/>
    </row>
    <row r="96" spans="1:11" ht="17.25" x14ac:dyDescent="0.3">
      <c r="D96" s="250" t="s">
        <v>122</v>
      </c>
      <c r="E96" s="250"/>
      <c r="F96" s="250">
        <f>SUM(F92:G94)</f>
        <v>8</v>
      </c>
      <c r="G96" s="250"/>
      <c r="H96" s="214">
        <f>F96*I96</f>
        <v>3520</v>
      </c>
      <c r="I96">
        <f>40*2*5.5</f>
        <v>440</v>
      </c>
      <c r="J96" s="155">
        <f>H87-H96</f>
        <v>20915.290526566663</v>
      </c>
    </row>
    <row r="97" spans="4:11" ht="17.25" x14ac:dyDescent="0.3">
      <c r="D97" s="250"/>
      <c r="E97" s="250"/>
      <c r="F97" s="250"/>
      <c r="G97" s="250"/>
      <c r="H97" s="214"/>
    </row>
    <row r="98" spans="4:11" ht="17.25" x14ac:dyDescent="0.3">
      <c r="D98" s="250"/>
      <c r="E98" s="250"/>
      <c r="F98" s="250"/>
      <c r="G98" s="250"/>
      <c r="H98" s="214"/>
    </row>
    <row r="100" spans="4:11" ht="22.5" customHeight="1" x14ac:dyDescent="0.3">
      <c r="D100" s="247" t="s">
        <v>119</v>
      </c>
      <c r="E100" s="248"/>
      <c r="F100" s="248"/>
      <c r="G100" s="248"/>
      <c r="H100" s="211">
        <f>SUM(H92:H97)</f>
        <v>76825.87157969999</v>
      </c>
    </row>
    <row r="101" spans="4:11" ht="17.25" x14ac:dyDescent="0.3">
      <c r="D101" s="3"/>
      <c r="E101" s="1"/>
      <c r="F101" s="1"/>
      <c r="G101" s="3"/>
      <c r="H101" s="214"/>
    </row>
    <row r="102" spans="4:11" ht="17.25" x14ac:dyDescent="0.3">
      <c r="D102" s="215" t="s">
        <v>107</v>
      </c>
      <c r="E102" s="210"/>
      <c r="F102" s="210"/>
      <c r="G102" s="210"/>
      <c r="H102" s="216">
        <f>SUM(F92:F94)</f>
        <v>8</v>
      </c>
      <c r="J102" s="209"/>
    </row>
    <row r="111" spans="4:11" x14ac:dyDescent="0.25">
      <c r="K111" s="112"/>
    </row>
    <row r="112" spans="4:11" x14ac:dyDescent="0.25">
      <c r="K112" s="111"/>
    </row>
    <row r="113" spans="4:5" x14ac:dyDescent="0.25">
      <c r="D113" s="249"/>
      <c r="E113" s="249"/>
    </row>
    <row r="114" spans="4:5" x14ac:dyDescent="0.25">
      <c r="D114" s="249"/>
      <c r="E114" s="249"/>
    </row>
    <row r="115" spans="4:5" x14ac:dyDescent="0.25">
      <c r="D115" s="249"/>
      <c r="E115" s="249"/>
    </row>
  </sheetData>
  <mergeCells count="36">
    <mergeCell ref="J13:K13"/>
    <mergeCell ref="A11:H11"/>
    <mergeCell ref="A13:C13"/>
    <mergeCell ref="A14:C14"/>
    <mergeCell ref="A15:B15"/>
    <mergeCell ref="E62:H62"/>
    <mergeCell ref="E81:G81"/>
    <mergeCell ref="E82:G82"/>
    <mergeCell ref="E84:G84"/>
    <mergeCell ref="D87:E87"/>
    <mergeCell ref="J18:K18"/>
    <mergeCell ref="J21:K21"/>
    <mergeCell ref="J26:K26"/>
    <mergeCell ref="E61:H61"/>
    <mergeCell ref="F94:G94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D96:E96"/>
    <mergeCell ref="F96:G96"/>
    <mergeCell ref="F97:G97"/>
    <mergeCell ref="D98:E98"/>
    <mergeCell ref="F98:G98"/>
    <mergeCell ref="D97:E97"/>
    <mergeCell ref="D100:E100"/>
    <mergeCell ref="F100:G100"/>
    <mergeCell ref="D113:E113"/>
    <mergeCell ref="D114:E114"/>
    <mergeCell ref="D115:E115"/>
  </mergeCells>
  <phoneticPr fontId="23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39" xr:uid="{C59AC45A-36C6-42B4-B117-4A53BA6E46DB}">
      <formula1>"Dewald, Hannes, Johan"</formula1>
    </dataValidation>
    <dataValidation type="list" allowBlank="1" showInputMessage="1" showErrorMessage="1" sqref="D16: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44" zoomScale="85" zoomScaleNormal="85" workbookViewId="0">
      <selection activeCell="J69" sqref="J69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75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84</v>
      </c>
      <c r="C10" s="3" t="s">
        <v>108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276" t="s">
        <v>46</v>
      </c>
      <c r="C13" s="277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274" t="s">
        <v>55</v>
      </c>
      <c r="O14" s="275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278" t="s">
        <v>20</v>
      </c>
      <c r="C24" s="278"/>
      <c r="D24" s="278"/>
      <c r="E24" s="278"/>
      <c r="F24" s="278"/>
      <c r="G24" s="278"/>
    </row>
    <row r="25" spans="2:12" x14ac:dyDescent="0.3">
      <c r="B25" s="279" t="s">
        <v>21</v>
      </c>
      <c r="C25" s="279" t="s">
        <v>22</v>
      </c>
      <c r="D25" s="279"/>
      <c r="E25" s="279" t="s">
        <v>23</v>
      </c>
      <c r="F25" s="279" t="s">
        <v>24</v>
      </c>
      <c r="G25" s="279"/>
      <c r="J25" s="161" t="s">
        <v>86</v>
      </c>
      <c r="K25" s="162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63">
        <f>VLOOKUP(K25,E29:G40,2,FALSE)</f>
        <v>0.1361</v>
      </c>
    </row>
    <row r="26" spans="2:12" x14ac:dyDescent="0.3">
      <c r="B26" s="279"/>
      <c r="C26" s="10"/>
      <c r="D26" s="10"/>
      <c r="E26" s="279"/>
      <c r="F26" s="10"/>
      <c r="G26" s="10"/>
      <c r="J26" s="77" t="s">
        <v>90</v>
      </c>
      <c r="K26" s="5">
        <f>K25+L27</f>
        <v>450550.3639</v>
      </c>
      <c r="L26" s="164">
        <f>VLOOKUP(K25,E29:G40,3,FALSE)</f>
        <v>2000001</v>
      </c>
    </row>
    <row r="27" spans="2:12" x14ac:dyDescent="0.3">
      <c r="B27" s="279"/>
      <c r="C27" s="10" t="s">
        <v>25</v>
      </c>
      <c r="D27" s="10" t="s">
        <v>26</v>
      </c>
      <c r="E27" s="279"/>
      <c r="F27" s="10" t="s">
        <v>27</v>
      </c>
      <c r="G27" s="10" t="s">
        <v>28</v>
      </c>
      <c r="J27" s="165"/>
      <c r="K27" s="166" t="s">
        <v>98</v>
      </c>
      <c r="L27" s="167">
        <f>(C9-L26)*L25</f>
        <v>86287.263900000005</v>
      </c>
    </row>
    <row r="28" spans="2:12" x14ac:dyDescent="0.3">
      <c r="B28" s="279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57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175" t="s">
        <v>24</v>
      </c>
      <c r="G44" s="176"/>
      <c r="J44" s="161" t="s">
        <v>86</v>
      </c>
      <c r="K44" s="162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63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387001.32310000004</v>
      </c>
      <c r="L45" s="164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65"/>
      <c r="K46" s="166" t="s">
        <v>98</v>
      </c>
      <c r="L46" s="167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4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57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5"/>
      <c r="C60" s="158"/>
      <c r="D60" s="159"/>
      <c r="E60" s="158"/>
      <c r="F60" s="160"/>
      <c r="G60" s="158"/>
      <c r="L60" s="56"/>
    </row>
    <row r="61" spans="2:12" x14ac:dyDescent="0.3">
      <c r="K61" s="91"/>
      <c r="L61" s="64"/>
    </row>
    <row r="62" spans="2:12" x14ac:dyDescent="0.3">
      <c r="B62" s="58" t="s">
        <v>97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175" t="s">
        <v>24</v>
      </c>
      <c r="G63" s="176"/>
      <c r="J63" s="161" t="s">
        <v>86</v>
      </c>
      <c r="K63" s="162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63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323452.27230000001</v>
      </c>
      <c r="L64" s="164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65"/>
      <c r="K65" s="166" t="s">
        <v>98</v>
      </c>
      <c r="L65" s="167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57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2024-11-15T08:31:10Z</dcterms:modified>
</cp:coreProperties>
</file>