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3\- G Squared\Elizabeth Williams - Newton Park\"/>
    </mc:Choice>
  </mc:AlternateContent>
  <xr:revisionPtr revIDLastSave="0" documentId="13_ncr:1_{32DCDD8E-8650-4BFD-ACF1-A8B89551BA30}" xr6:coauthVersionLast="47" xr6:coauthVersionMax="47" xr10:uidLastSave="{00000000-0000-0000-0000-000000000000}"/>
  <bookViews>
    <workbookView xWindow="-28920" yWindow="-120" windowWidth="29040" windowHeight="15840" activeTab="2" xr2:uid="{260A762B-E942-4A40-AAE5-7E980C9B525F}"/>
  </bookViews>
  <sheets>
    <sheet name="Employees" sheetId="1" r:id="rId1"/>
    <sheet name="Allocations" sheetId="4" r:id="rId2"/>
    <sheet name="Fees" sheetId="3" r:id="rId3"/>
    <sheet name="Data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5" i="3" l="1"/>
  <c r="H19" i="4"/>
  <c r="F19" i="4"/>
  <c r="E19" i="4"/>
  <c r="P21" i="1"/>
  <c r="I15" i="1"/>
  <c r="J15" i="1" s="1"/>
  <c r="D21" i="1" s="1"/>
  <c r="H21" i="1" s="1"/>
  <c r="J21" i="1" s="1"/>
  <c r="H68" i="3"/>
  <c r="I67" i="3"/>
  <c r="I66" i="3"/>
  <c r="I65" i="3"/>
  <c r="I64" i="3"/>
  <c r="I62" i="3"/>
  <c r="F21" i="2"/>
  <c r="F21" i="3"/>
  <c r="H52" i="3"/>
  <c r="G30" i="3"/>
  <c r="F27" i="3"/>
  <c r="G28" i="3"/>
  <c r="G29" i="3"/>
  <c r="H44" i="3"/>
  <c r="H43" i="3"/>
  <c r="G25" i="3"/>
  <c r="G24" i="3"/>
  <c r="G22" i="3"/>
  <c r="G23" i="3"/>
  <c r="M43" i="2"/>
  <c r="O43" i="2" s="1"/>
  <c r="M46" i="2"/>
  <c r="O46" i="2" s="1"/>
  <c r="H46" i="2"/>
  <c r="O10" i="2"/>
  <c r="M42" i="2"/>
  <c r="O42" i="2" s="1"/>
  <c r="O54" i="2"/>
  <c r="O53" i="2"/>
  <c r="M23" i="2"/>
  <c r="M48" i="2"/>
  <c r="O48" i="2" s="1"/>
  <c r="H48" i="2"/>
  <c r="M47" i="2"/>
  <c r="O47" i="2" s="1"/>
  <c r="H47" i="2"/>
  <c r="M45" i="2"/>
  <c r="O45" i="2" s="1"/>
  <c r="H45" i="2"/>
  <c r="M44" i="2"/>
  <c r="O44" i="2" s="1"/>
  <c r="H44" i="2"/>
  <c r="M30" i="2"/>
  <c r="O30" i="2" s="1"/>
  <c r="M29" i="2"/>
  <c r="M28" i="2"/>
  <c r="M25" i="2"/>
  <c r="M24" i="2"/>
  <c r="P9" i="2"/>
  <c r="P8" i="2"/>
  <c r="P7" i="2"/>
  <c r="P6" i="2"/>
  <c r="N27" i="2"/>
  <c r="M107" i="2"/>
  <c r="M106" i="2"/>
  <c r="M105" i="2"/>
  <c r="M104" i="2"/>
  <c r="M103" i="2"/>
  <c r="M102" i="2"/>
  <c r="M101" i="2"/>
  <c r="M100" i="2"/>
  <c r="M99" i="2"/>
  <c r="M98" i="2"/>
  <c r="M97" i="2"/>
  <c r="M96" i="2"/>
  <c r="L21" i="1" l="1"/>
  <c r="D5" i="4"/>
  <c r="D7" i="4" s="1"/>
  <c r="I68" i="3"/>
  <c r="E75" i="3" s="1"/>
  <c r="E76" i="3" s="1"/>
  <c r="H42" i="3"/>
  <c r="M49" i="2"/>
  <c r="S42" i="2"/>
  <c r="N49" i="2"/>
  <c r="G27" i="3"/>
  <c r="G21" i="3"/>
  <c r="H50" i="3"/>
  <c r="H51" i="3"/>
  <c r="O41" i="2"/>
  <c r="O23" i="2"/>
  <c r="M51" i="2"/>
  <c r="M52" i="2"/>
  <c r="M27" i="2"/>
  <c r="F5" i="4" l="1"/>
  <c r="E77" i="3"/>
  <c r="E79" i="3" s="1"/>
  <c r="H49" i="3"/>
  <c r="O52" i="2"/>
  <c r="O51" i="2"/>
  <c r="D29" i="2"/>
  <c r="A29" i="2"/>
  <c r="P16" i="2"/>
  <c r="K70" i="2"/>
  <c r="M88" i="2"/>
  <c r="M87" i="2"/>
  <c r="M86" i="2"/>
  <c r="M85" i="2"/>
  <c r="M84" i="2"/>
  <c r="M83" i="2"/>
  <c r="M82" i="2"/>
  <c r="M81" i="2"/>
  <c r="M80" i="2"/>
  <c r="M79" i="2"/>
  <c r="M78" i="2"/>
  <c r="M77" i="2"/>
  <c r="P4" i="2"/>
  <c r="P10" i="2" s="1"/>
  <c r="U71" i="2" s="1"/>
  <c r="U76" i="2" s="1"/>
  <c r="P13" i="2"/>
  <c r="I14" i="1"/>
  <c r="J14" i="1" s="1"/>
  <c r="D20" i="1" s="1"/>
  <c r="I13" i="1"/>
  <c r="J13" i="1" s="1"/>
  <c r="D19" i="1" s="1"/>
  <c r="K5" i="4" l="1"/>
  <c r="I5" i="4" s="1"/>
  <c r="D8" i="4" s="1"/>
  <c r="H20" i="1"/>
  <c r="H19" i="1"/>
  <c r="J19" i="1" s="1"/>
  <c r="F85" i="3"/>
  <c r="I85" i="3" s="1"/>
  <c r="F82" i="3"/>
  <c r="F84" i="3"/>
  <c r="I84" i="3" s="1"/>
  <c r="F83" i="3"/>
  <c r="I83" i="3" s="1"/>
  <c r="U77" i="2"/>
  <c r="T88" i="2"/>
  <c r="T92" i="2"/>
  <c r="U100" i="2"/>
  <c r="H54" i="3"/>
  <c r="H55" i="3" s="1"/>
  <c r="H56" i="3" s="1"/>
  <c r="O50" i="2"/>
  <c r="O29" i="2"/>
  <c r="O28" i="2"/>
  <c r="O24" i="2"/>
  <c r="F29" i="2"/>
  <c r="J20" i="1" l="1"/>
  <c r="L19" i="1"/>
  <c r="L70" i="2"/>
  <c r="M70" i="2" s="1"/>
  <c r="N70" i="2" s="1"/>
  <c r="I88" i="3"/>
  <c r="I82" i="3"/>
  <c r="U96" i="2"/>
  <c r="U93" i="2"/>
  <c r="U92" i="2"/>
  <c r="U89" i="2"/>
  <c r="U88" i="2"/>
  <c r="U78" i="2"/>
  <c r="U80" i="2" s="1"/>
  <c r="O56" i="2"/>
  <c r="O57" i="2" s="1"/>
  <c r="O58" i="2" s="1"/>
  <c r="T42" i="2"/>
  <c r="U42" i="2" s="1"/>
  <c r="O27" i="2"/>
  <c r="E30" i="3" l="1"/>
  <c r="H30" i="3" s="1"/>
  <c r="E29" i="3"/>
  <c r="E28" i="3"/>
  <c r="H28" i="3" s="1"/>
  <c r="E23" i="3"/>
  <c r="H23" i="3" s="1"/>
  <c r="E24" i="3"/>
  <c r="H24" i="3" s="1"/>
  <c r="E25" i="3"/>
  <c r="H25" i="3" s="1"/>
  <c r="L20" i="1"/>
  <c r="E22" i="3"/>
  <c r="H22" i="3" s="1"/>
  <c r="I87" i="3"/>
  <c r="I90" i="3" s="1"/>
  <c r="U90" i="2"/>
  <c r="Z74" i="2"/>
  <c r="Z76" i="2"/>
  <c r="AF76" i="2" s="1"/>
  <c r="AB76" i="2" s="1"/>
  <c r="Z75" i="2"/>
  <c r="AF75" i="2" s="1"/>
  <c r="AB75" i="2" s="1"/>
  <c r="Z77" i="2"/>
  <c r="AF77" i="2" s="1"/>
  <c r="AB77" i="2" s="1"/>
  <c r="U94" i="2"/>
  <c r="H21" i="3" l="1"/>
  <c r="Z79" i="2"/>
  <c r="AF74" i="2"/>
  <c r="AB74" i="2" s="1"/>
  <c r="AB80" i="2" s="1"/>
  <c r="O25" i="2"/>
  <c r="M22" i="2"/>
  <c r="N22" i="2"/>
  <c r="S28" i="2" s="1"/>
  <c r="O22" i="2" l="1"/>
  <c r="O32" i="2" s="1"/>
  <c r="O33" i="2" s="1"/>
  <c r="O34" i="2" s="1"/>
  <c r="T28" i="2" s="1"/>
  <c r="N21" i="3"/>
  <c r="H29" i="3" l="1"/>
  <c r="H27" i="3" s="1"/>
  <c r="F33" i="3" s="1"/>
  <c r="H33" i="3" l="1"/>
  <c r="H34" i="3" s="1"/>
  <c r="H35" i="3" s="1"/>
  <c r="K27" i="3" l="1"/>
  <c r="N23" i="3"/>
  <c r="L27" i="3" l="1"/>
  <c r="M27" i="3" s="1"/>
  <c r="O27" i="3" s="1"/>
  <c r="N27" i="3" s="1"/>
  <c r="N29" i="3" l="1"/>
  <c r="N31" i="3" s="1"/>
  <c r="D9" i="4" l="1"/>
</calcChain>
</file>

<file path=xl/sharedStrings.xml><?xml version="1.0" encoding="utf-8"?>
<sst xmlns="http://schemas.openxmlformats.org/spreadsheetml/2006/main" count="322" uniqueCount="171">
  <si>
    <t>Position</t>
  </si>
  <si>
    <t>Name</t>
  </si>
  <si>
    <t>Gross Monthly Salary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</si>
  <si>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</si>
  <si>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</si>
  <si>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</si>
  <si>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</si>
  <si>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</si>
  <si>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</si>
  <si>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</si>
  <si>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</si>
  <si>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</si>
  <si>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</si>
  <si>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</si>
  <si>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</si>
  <si>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</si>
  <si>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Additions and Alterations</t>
  </si>
  <si>
    <t>m²</t>
  </si>
  <si>
    <t>Building</t>
  </si>
  <si>
    <t>Size (m²)</t>
  </si>
  <si>
    <t>Rate Per m²</t>
  </si>
  <si>
    <t>Total est. Build cost</t>
  </si>
  <si>
    <t>3d Model Existing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</si>
  <si>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</si>
  <si>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</si>
  <si>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</si>
  <si>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</si>
  <si>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</si>
  <si>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</si>
  <si>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</si>
  <si>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</si>
  <si>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</si>
  <si>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</si>
  <si>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</si>
  <si>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</si>
  <si>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</si>
  <si>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</si>
  <si>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</si>
  <si>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</si>
  <si>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</si>
  <si>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per m²</t>
  </si>
  <si>
    <t>Travel:</t>
  </si>
  <si>
    <t>Distance: (km)</t>
  </si>
  <si>
    <t>Rate: (per km)</t>
  </si>
  <si>
    <t>Project Budget based:</t>
  </si>
  <si>
    <t>Size(m²)</t>
  </si>
  <si>
    <t>Build per m²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</si>
  <si>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</si>
  <si>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</si>
  <si>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</si>
  <si>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</si>
  <si>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</si>
  <si>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</si>
  <si>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</si>
  <si>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</si>
  <si>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</si>
  <si>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</si>
  <si>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</si>
  <si>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</si>
  <si>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</si>
  <si>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</si>
  <si>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</si>
  <si>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</si>
  <si>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</si>
  <si>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</si>
  <si>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</si>
  <si>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</si>
  <si>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</si>
  <si>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</si>
  <si>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Secondary Fee Calc:</t>
  </si>
  <si>
    <t>Project Cost - Balance Over x %</t>
  </si>
  <si>
    <t>Affected Design Area</t>
  </si>
  <si>
    <t>House</t>
  </si>
  <si>
    <t>Patio</t>
  </si>
  <si>
    <t xml:space="preserve">Total Ex. 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</si>
  <si>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</si>
  <si>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</si>
  <si>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</si>
  <si>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</si>
  <si>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</si>
  <si>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</si>
  <si>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Hannes / Dewald</t>
  </si>
  <si>
    <t>HOURLY FEES</t>
  </si>
  <si>
    <t>STAGE 1 - 3:</t>
  </si>
  <si>
    <t>Measure, Redraw 3d Modelling existing</t>
  </si>
  <si>
    <t>Design Proposed Additions and Alterations</t>
  </si>
  <si>
    <t>Min</t>
  </si>
  <si>
    <t>Estimated Build Cost: (For Cost Based Fees)</t>
  </si>
  <si>
    <t>STAGE 4.1 &amp; 4.2:</t>
  </si>
  <si>
    <t>Municipal Drawings and Submission</t>
  </si>
  <si>
    <t>Technical drawings</t>
  </si>
  <si>
    <t>Total Professional Fees: Stages 1 - 4.2</t>
  </si>
  <si>
    <t>Discount</t>
  </si>
  <si>
    <t>TOTAL:</t>
  </si>
  <si>
    <t>m² Rate</t>
  </si>
  <si>
    <t>PER M² FEES</t>
  </si>
  <si>
    <t xml:space="preserve">m² </t>
  </si>
  <si>
    <r>
      <rPr>
        <b/>
        <sz val="14"/>
        <color theme="1"/>
        <rFont val="Century Gothic"/>
        <family val="2"/>
      </rPr>
      <t>Project</t>
    </r>
    <r>
      <rPr>
        <sz val="14"/>
        <color theme="1"/>
        <rFont val="Century Gothic"/>
        <family val="2"/>
      </rPr>
      <t>: [ House De Villiers ]</t>
    </r>
  </si>
  <si>
    <t>Company Fees</t>
  </si>
  <si>
    <t>Per Day Rate + Business Fees</t>
  </si>
  <si>
    <t>Alterations</t>
  </si>
  <si>
    <t>Additions</t>
  </si>
  <si>
    <t>HOA Submission</t>
  </si>
  <si>
    <t>Total Drawing Days</t>
  </si>
  <si>
    <t>Employee Day rate: Excl. Profits</t>
  </si>
  <si>
    <t>Project Profit Per Day</t>
  </si>
  <si>
    <t>Hours out of office</t>
  </si>
  <si>
    <t>Redraw CAD from PDF's</t>
  </si>
  <si>
    <t>3d Modelling existing</t>
  </si>
  <si>
    <t>Redraw CAD from PDF</t>
  </si>
  <si>
    <t>Redraw</t>
  </si>
  <si>
    <t>Municipal Drawings (Existing)</t>
  </si>
  <si>
    <t xml:space="preserve">Municipal Drawings and Submission </t>
  </si>
  <si>
    <t>Master Bedroom and Bathroom</t>
  </si>
  <si>
    <t>Affected Area</t>
  </si>
  <si>
    <t>total</t>
  </si>
  <si>
    <t>Total Additions:</t>
  </si>
  <si>
    <t xml:space="preserve">Total Additions design and mun. dwgs </t>
  </si>
  <si>
    <t>Total add per m²</t>
  </si>
  <si>
    <t>Dewald</t>
  </si>
  <si>
    <t>Measuring</t>
  </si>
  <si>
    <t>Drawing As-builts</t>
  </si>
  <si>
    <t>Drawing 3D - SketchUp</t>
  </si>
  <si>
    <t>Project Daily Rate</t>
  </si>
  <si>
    <t>Design of internal layout</t>
  </si>
  <si>
    <t>N/A</t>
  </si>
  <si>
    <t>Discount:</t>
  </si>
  <si>
    <t>Total Professional Fees:</t>
  </si>
  <si>
    <t>Measure &amp; Redraw (House &amp; Garage)</t>
  </si>
  <si>
    <t>Phase 2:</t>
  </si>
  <si>
    <t>Phase  1 :</t>
  </si>
  <si>
    <t>Phase 1:</t>
  </si>
  <si>
    <t>Admin</t>
  </si>
  <si>
    <t>Design master plan (2D + 3D)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</si>
  <si>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</si>
  <si>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</si>
  <si>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</si>
  <si>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</si>
  <si>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</si>
  <si>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</si>
  <si>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Kitchen</t>
  </si>
  <si>
    <t>PC</t>
  </si>
  <si>
    <t>Complexity</t>
  </si>
  <si>
    <t>Medium</t>
  </si>
  <si>
    <t>(Project cost - E) * D</t>
  </si>
  <si>
    <t>(Project - E) * D</t>
  </si>
  <si>
    <t>Est. Build cost</t>
  </si>
  <si>
    <t>Nr.</t>
  </si>
  <si>
    <t>Per/Hr</t>
  </si>
  <si>
    <t>Total Fees</t>
  </si>
  <si>
    <t>Total incl. Discount (ex.VAT)</t>
  </si>
  <si>
    <t>Discount overall</t>
  </si>
  <si>
    <t>Pure Business Profit:</t>
  </si>
  <si>
    <t>1.</t>
  </si>
  <si>
    <t>Hannes</t>
  </si>
  <si>
    <t>Tech</t>
  </si>
  <si>
    <t>Johan Hugo</t>
  </si>
  <si>
    <t>basic tech drawings only</t>
  </si>
  <si>
    <t>Snr. Tech</t>
  </si>
  <si>
    <t>Allocations</t>
  </si>
  <si>
    <t>savings</t>
  </si>
  <si>
    <t>Tax</t>
  </si>
  <si>
    <t>Wickus</t>
  </si>
  <si>
    <t>Malcolm</t>
  </si>
  <si>
    <t>G²</t>
  </si>
  <si>
    <t>Cap</t>
  </si>
  <si>
    <t>Johan</t>
  </si>
  <si>
    <t>Hannes / Diane</t>
  </si>
  <si>
    <t>Design (Additional Entertainment space)</t>
  </si>
  <si>
    <t>Total Professional Fees: Stages 1 - 4.1</t>
  </si>
  <si>
    <t>Design (Interior and Exterior Alterations)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</si>
</sst>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164" formatCode="&quot;R&quot;#,##0.00"/>
    <numFmt numFmtId="165" formatCode="&quot;R&quot;#,##0"/>
    <numFmt numFmtId="166" formatCode="[$R-1C09]\ #,##0"/>
    <numFmt numFmtId="167" formatCode="[$R-1C09]#,##0.00"/>
    <numFmt numFmtId="168" formatCode="0.0%"/>
  </numFmts>
  <fonts count="2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</fonts>
  <fills count="12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7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374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9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top"/>
    </xf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4" fillId="0" borderId="28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6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37" xfId="0" applyFont="1" applyBorder="1"/>
    <xf numFmtId="0" fontId="4" fillId="0" borderId="38" xfId="0" applyFont="1" applyBorder="1"/>
    <xf numFmtId="0" fontId="4" fillId="0" borderId="39" xfId="0" applyFont="1" applyBorder="1" applyAlignment="1">
      <alignment horizontal="center"/>
    </xf>
    <xf numFmtId="164" fontId="4" fillId="0" borderId="40" xfId="0" applyNumberFormat="1" applyFont="1" applyBorder="1"/>
    <xf numFmtId="0" fontId="4" fillId="0" borderId="40" xfId="0" applyFont="1" applyBorder="1"/>
    <xf numFmtId="164" fontId="4" fillId="0" borderId="41" xfId="0" applyNumberFormat="1" applyFont="1" applyBorder="1"/>
    <xf numFmtId="0" fontId="4" fillId="0" borderId="24" xfId="0" applyFont="1" applyBorder="1"/>
    <xf numFmtId="0" fontId="4" fillId="0" borderId="42" xfId="0" applyFont="1" applyBorder="1"/>
    <xf numFmtId="164" fontId="4" fillId="0" borderId="2" xfId="0" applyNumberFormat="1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164" fontId="4" fillId="0" borderId="46" xfId="0" applyNumberFormat="1" applyFont="1" applyBorder="1"/>
    <xf numFmtId="0" fontId="13" fillId="2" borderId="17" xfId="1" applyFont="1" applyBorder="1"/>
    <xf numFmtId="164" fontId="13" fillId="2" borderId="19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49" xfId="0" applyFont="1" applyBorder="1"/>
    <xf numFmtId="9" fontId="4" fillId="0" borderId="28" xfId="0" applyNumberFormat="1" applyFont="1" applyBorder="1" applyAlignment="1">
      <alignment horizontal="center"/>
    </xf>
    <xf numFmtId="164" fontId="4" fillId="0" borderId="28" xfId="0" applyNumberFormat="1" applyFont="1" applyBorder="1"/>
    <xf numFmtId="9" fontId="4" fillId="0" borderId="28" xfId="0" applyNumberFormat="1" applyFont="1" applyBorder="1"/>
    <xf numFmtId="164" fontId="4" fillId="0" borderId="50" xfId="0" applyNumberFormat="1" applyFont="1" applyBorder="1"/>
    <xf numFmtId="0" fontId="4" fillId="0" borderId="51" xfId="0" applyFont="1" applyBorder="1" applyAlignment="1">
      <alignment horizontal="center"/>
    </xf>
    <xf numFmtId="164" fontId="0" fillId="0" borderId="52" xfId="0" applyNumberFormat="1" applyBorder="1"/>
    <xf numFmtId="0" fontId="4" fillId="0" borderId="53" xfId="0" applyFont="1" applyBorder="1"/>
    <xf numFmtId="0" fontId="4" fillId="0" borderId="54" xfId="0" applyFont="1" applyBorder="1"/>
    <xf numFmtId="9" fontId="4" fillId="0" borderId="54" xfId="0" applyNumberFormat="1" applyFont="1" applyBorder="1" applyAlignment="1">
      <alignment horizontal="center"/>
    </xf>
    <xf numFmtId="164" fontId="4" fillId="0" borderId="54" xfId="0" applyNumberFormat="1" applyFont="1" applyBorder="1"/>
    <xf numFmtId="9" fontId="4" fillId="0" borderId="54" xfId="0" applyNumberFormat="1" applyFont="1" applyBorder="1"/>
    <xf numFmtId="164" fontId="4" fillId="0" borderId="22" xfId="0" applyNumberFormat="1" applyFont="1" applyBorder="1"/>
    <xf numFmtId="0" fontId="4" fillId="0" borderId="55" xfId="0" applyFont="1" applyBorder="1" applyAlignment="1">
      <alignment horizontal="center"/>
    </xf>
    <xf numFmtId="164" fontId="0" fillId="0" borderId="56" xfId="0" applyNumberFormat="1" applyBorder="1"/>
    <xf numFmtId="0" fontId="4" fillId="0" borderId="57" xfId="0" applyFont="1" applyBorder="1"/>
    <xf numFmtId="9" fontId="4" fillId="0" borderId="40" xfId="0" applyNumberFormat="1" applyFont="1" applyBorder="1" applyAlignment="1">
      <alignment horizontal="center"/>
    </xf>
    <xf numFmtId="9" fontId="4" fillId="0" borderId="40" xfId="0" applyNumberFormat="1" applyFont="1" applyBorder="1"/>
    <xf numFmtId="0" fontId="4" fillId="0" borderId="58" xfId="0" applyFont="1" applyBorder="1" applyAlignment="1">
      <alignment horizontal="center"/>
    </xf>
    <xf numFmtId="164" fontId="0" fillId="0" borderId="35" xfId="0" applyNumberFormat="1" applyBorder="1"/>
    <xf numFmtId="0" fontId="4" fillId="0" borderId="4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36" xfId="0" applyFont="1" applyBorder="1"/>
    <xf numFmtId="0" fontId="4" fillId="0" borderId="59" xfId="0" applyFont="1" applyBorder="1"/>
    <xf numFmtId="166" fontId="4" fillId="0" borderId="0" xfId="0" applyNumberFormat="1" applyFont="1"/>
    <xf numFmtId="0" fontId="4" fillId="0" borderId="16" xfId="0" applyFont="1" applyBorder="1" applyAlignment="1">
      <alignment horizontal="center"/>
    </xf>
    <xf numFmtId="0" fontId="10" fillId="0" borderId="33" xfId="0" applyFont="1" applyBorder="1" applyAlignment="1">
      <alignment horizontal="left"/>
    </xf>
    <xf numFmtId="0" fontId="6" fillId="7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20" xfId="0" applyFont="1" applyFill="1" applyBorder="1" applyAlignment="1">
      <alignment horizontal="center"/>
    </xf>
    <xf numFmtId="0" fontId="5" fillId="6" borderId="21" xfId="0" applyFont="1" applyFill="1" applyBorder="1" applyAlignment="1">
      <alignment horizontal="center"/>
    </xf>
    <xf numFmtId="0" fontId="5" fillId="6" borderId="20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164" fontId="8" fillId="4" borderId="29" xfId="0" applyNumberFormat="1" applyFont="1" applyFill="1" applyBorder="1" applyAlignment="1">
      <alignment horizontal="center"/>
    </xf>
    <xf numFmtId="164" fontId="8" fillId="4" borderId="31" xfId="0" applyNumberFormat="1" applyFont="1" applyFill="1" applyBorder="1" applyAlignment="1">
      <alignment horizontal="center"/>
    </xf>
    <xf numFmtId="164" fontId="8" fillId="4" borderId="30" xfId="0" applyNumberFormat="1" applyFont="1" applyFill="1" applyBorder="1" applyAlignment="1">
      <alignment horizontal="center"/>
    </xf>
    <xf numFmtId="164" fontId="4" fillId="0" borderId="29" xfId="0" applyNumberFormat="1" applyFont="1" applyBorder="1" applyAlignment="1">
      <alignment horizontal="center"/>
    </xf>
    <xf numFmtId="164" fontId="4" fillId="0" borderId="30" xfId="0" applyNumberFormat="1" applyFont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6" fillId="6" borderId="20" xfId="0" applyFont="1" applyFill="1" applyBorder="1" applyAlignment="1">
      <alignment horizontal="center"/>
    </xf>
    <xf numFmtId="164" fontId="4" fillId="0" borderId="31" xfId="0" applyNumberFormat="1" applyFont="1" applyBorder="1" applyAlignment="1">
      <alignment horizontal="center"/>
    </xf>
    <xf numFmtId="0" fontId="8" fillId="0" borderId="2" xfId="0" applyFont="1" applyBorder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164" fontId="4" fillId="0" borderId="54" xfId="0" applyNumberFormat="1" applyFont="1" applyBorder="1" applyAlignment="1">
      <alignment horizontal="center"/>
    </xf>
    <xf numFmtId="0" fontId="4" fillId="0" borderId="60" xfId="0" applyFont="1" applyBorder="1" applyAlignment="1">
      <alignment horizontal="center"/>
    </xf>
    <xf numFmtId="164" fontId="4" fillId="0" borderId="60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4" fontId="8" fillId="0" borderId="11" xfId="0" applyNumberFormat="1" applyFont="1" applyBorder="1" applyAlignment="1">
      <alignment horizontal="center"/>
    </xf>
    <xf numFmtId="164" fontId="8" fillId="0" borderId="12" xfId="0" applyNumberFormat="1" applyFont="1" applyBorder="1" applyAlignment="1">
      <alignment horizontal="center"/>
    </xf>
    <xf numFmtId="164" fontId="8" fillId="0" borderId="13" xfId="0" applyNumberFormat="1" applyFont="1" applyBorder="1" applyAlignment="1">
      <alignment horizontal="center"/>
    </xf>
    <xf numFmtId="167" fontId="4" fillId="0" borderId="0" xfId="0" applyNumberFormat="1" applyFont="1"/>
    <xf numFmtId="0" fontId="14" fillId="0" borderId="53" xfId="0" applyFont="1" applyBorder="1"/>
    <xf numFmtId="0" fontId="14" fillId="0" borderId="57" xfId="0" applyFont="1" applyBorder="1"/>
    <xf numFmtId="0" fontId="14" fillId="0" borderId="49" xfId="0" applyFont="1" applyBorder="1"/>
    <xf numFmtId="167" fontId="0" fillId="0" borderId="14" xfId="0" applyNumberFormat="1" applyBorder="1"/>
    <xf numFmtId="0" fontId="15" fillId="0" borderId="0" xfId="0" applyFont="1"/>
    <xf numFmtId="0" fontId="15" fillId="8" borderId="0" xfId="0" applyFont="1" applyFill="1"/>
    <xf numFmtId="0" fontId="16" fillId="0" borderId="0" xfId="0" applyFont="1"/>
    <xf numFmtId="0" fontId="6" fillId="0" borderId="0" xfId="0" applyFont="1"/>
    <xf numFmtId="0" fontId="16" fillId="0" borderId="54" xfId="0" applyFont="1" applyBorder="1"/>
    <xf numFmtId="0" fontId="4" fillId="6" borderId="12" xfId="0" applyFont="1" applyFill="1" applyBorder="1"/>
    <xf numFmtId="0" fontId="16" fillId="0" borderId="16" xfId="0" applyFont="1" applyBorder="1" applyAlignment="1">
      <alignment horizontal="center"/>
    </xf>
    <xf numFmtId="164" fontId="4" fillId="0" borderId="38" xfId="0" applyNumberFormat="1" applyFont="1" applyBorder="1"/>
    <xf numFmtId="0" fontId="16" fillId="0" borderId="38" xfId="0" applyFont="1" applyBorder="1"/>
    <xf numFmtId="164" fontId="4" fillId="6" borderId="18" xfId="0" applyNumberFormat="1" applyFont="1" applyFill="1" applyBorder="1"/>
    <xf numFmtId="0" fontId="16" fillId="0" borderId="28" xfId="0" applyFont="1" applyBorder="1"/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14" fillId="0" borderId="2" xfId="0" applyFont="1" applyBorder="1" applyAlignment="1">
      <alignment horizontal="center" vertical="center"/>
    </xf>
    <xf numFmtId="164" fontId="4" fillId="6" borderId="21" xfId="0" applyNumberFormat="1" applyFont="1" applyFill="1" applyBorder="1"/>
    <xf numFmtId="0" fontId="4" fillId="6" borderId="2" xfId="0" applyFont="1" applyFill="1" applyBorder="1" applyAlignment="1">
      <alignment horizontal="center"/>
    </xf>
    <xf numFmtId="0" fontId="16" fillId="6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62" xfId="0" applyFont="1" applyBorder="1"/>
    <xf numFmtId="0" fontId="4" fillId="0" borderId="6" xfId="0" applyFont="1" applyBorder="1" applyAlignment="1">
      <alignment vertical="center"/>
    </xf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0" fontId="4" fillId="0" borderId="54" xfId="0" applyFont="1" applyBorder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64" fontId="16" fillId="0" borderId="0" xfId="0" applyNumberFormat="1" applyFont="1"/>
    <xf numFmtId="0" fontId="4" fillId="0" borderId="52" xfId="0" applyFont="1" applyBorder="1"/>
    <xf numFmtId="164" fontId="8" fillId="6" borderId="35" xfId="0" applyNumberFormat="1" applyFont="1" applyFill="1" applyBorder="1"/>
    <xf numFmtId="0" fontId="16" fillId="0" borderId="0" xfId="0" applyFont="1" applyAlignment="1">
      <alignment horizontal="center"/>
    </xf>
    <xf numFmtId="164" fontId="8" fillId="0" borderId="28" xfId="0" applyNumberFormat="1" applyFont="1" applyBorder="1" applyAlignment="1">
      <alignment horizontal="center"/>
    </xf>
    <xf numFmtId="164" fontId="4" fillId="0" borderId="28" xfId="0" applyNumberFormat="1" applyFont="1" applyBorder="1" applyAlignment="1">
      <alignment horizontal="left" vertical="center"/>
    </xf>
    <xf numFmtId="0" fontId="16" fillId="0" borderId="28" xfId="0" applyFont="1" applyBorder="1" applyAlignment="1">
      <alignment horizontal="right"/>
    </xf>
    <xf numFmtId="0" fontId="4" fillId="0" borderId="28" xfId="0" applyFont="1" applyBorder="1" applyAlignment="1">
      <alignment horizontal="right"/>
    </xf>
    <xf numFmtId="164" fontId="8" fillId="0" borderId="4" xfId="0" applyNumberFormat="1" applyFont="1" applyBorder="1" applyAlignment="1">
      <alignment horizontal="center"/>
    </xf>
    <xf numFmtId="164" fontId="4" fillId="0" borderId="4" xfId="0" applyNumberFormat="1" applyFont="1" applyBorder="1"/>
    <xf numFmtId="164" fontId="4" fillId="0" borderId="0" xfId="0" applyNumberFormat="1" applyFont="1" applyAlignment="1">
      <alignment horizontal="left" vertical="center"/>
    </xf>
    <xf numFmtId="0" fontId="4" fillId="0" borderId="4" xfId="0" applyFont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left"/>
    </xf>
    <xf numFmtId="0" fontId="4" fillId="0" borderId="28" xfId="0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164" fontId="4" fillId="0" borderId="14" xfId="0" applyNumberFormat="1" applyFont="1" applyBorder="1"/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2" fontId="16" fillId="6" borderId="2" xfId="0" applyNumberFormat="1" applyFont="1" applyFill="1" applyBorder="1" applyAlignment="1">
      <alignment horizontal="center"/>
    </xf>
    <xf numFmtId="2" fontId="16" fillId="0" borderId="28" xfId="0" applyNumberFormat="1" applyFont="1" applyBorder="1" applyAlignment="1">
      <alignment horizontal="right"/>
    </xf>
    <xf numFmtId="164" fontId="4" fillId="0" borderId="38" xfId="0" applyNumberFormat="1" applyFont="1" applyBorder="1" applyAlignment="1">
      <alignment horizontal="center"/>
    </xf>
    <xf numFmtId="164" fontId="4" fillId="0" borderId="64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9" fontId="4" fillId="0" borderId="0" xfId="3" applyFont="1" applyAlignment="1">
      <alignment horizontal="left"/>
    </xf>
    <xf numFmtId="0" fontId="0" fillId="10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5" fillId="0" borderId="69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4" fillId="0" borderId="69" xfId="0" applyFont="1" applyBorder="1" applyAlignment="1">
      <alignment horizontal="center" vertical="center"/>
    </xf>
    <xf numFmtId="0" fontId="4" fillId="0" borderId="69" xfId="0" applyFont="1" applyBorder="1"/>
    <xf numFmtId="0" fontId="8" fillId="10" borderId="11" xfId="0" applyFont="1" applyFill="1" applyBorder="1"/>
    <xf numFmtId="9" fontId="8" fillId="10" borderId="11" xfId="3" applyFont="1" applyFill="1" applyBorder="1" applyAlignment="1">
      <alignment horizontal="left"/>
    </xf>
    <xf numFmtId="9" fontId="8" fillId="10" borderId="11" xfId="3" applyFont="1" applyFill="1" applyBorder="1" applyAlignment="1">
      <alignment horizontal="center"/>
    </xf>
    <xf numFmtId="0" fontId="4" fillId="10" borderId="13" xfId="0" applyFont="1" applyFill="1" applyBorder="1" applyAlignment="1">
      <alignment horizontal="center"/>
    </xf>
    <xf numFmtId="9" fontId="4" fillId="10" borderId="69" xfId="3" applyFont="1" applyFill="1" applyBorder="1" applyAlignment="1">
      <alignment horizontal="center"/>
    </xf>
    <xf numFmtId="0" fontId="8" fillId="10" borderId="69" xfId="0" applyFont="1" applyFill="1" applyBorder="1" applyAlignment="1">
      <alignment horizontal="center"/>
    </xf>
    <xf numFmtId="0" fontId="4" fillId="10" borderId="69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 vertic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1" borderId="0" xfId="0" applyNumberFormat="1" applyFont="1" applyFill="1" applyAlignment="1">
      <alignment horizontal="center"/>
    </xf>
    <xf numFmtId="0" fontId="14" fillId="0" borderId="3" xfId="0" applyFont="1" applyBorder="1"/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0" fontId="14" fillId="0" borderId="6" xfId="0" applyFont="1" applyBorder="1"/>
    <xf numFmtId="9" fontId="4" fillId="0" borderId="0" xfId="0" applyNumberFormat="1" applyFont="1" applyAlignment="1">
      <alignment horizontal="center"/>
    </xf>
    <xf numFmtId="0" fontId="14" fillId="0" borderId="8" xfId="0" applyFont="1" applyBorder="1"/>
    <xf numFmtId="9" fontId="4" fillId="0" borderId="9" xfId="0" applyNumberFormat="1" applyFont="1" applyBorder="1" applyAlignment="1">
      <alignment horizontal="center"/>
    </xf>
    <xf numFmtId="0" fontId="21" fillId="10" borderId="2" xfId="2" applyFont="1" applyFill="1" applyBorder="1" applyAlignment="1">
      <alignment horizontal="center"/>
    </xf>
    <xf numFmtId="0" fontId="21" fillId="10" borderId="2" xfId="2" applyFont="1" applyFill="1" applyBorder="1"/>
    <xf numFmtId="0" fontId="3" fillId="0" borderId="0" xfId="0" applyFont="1"/>
    <xf numFmtId="164" fontId="19" fillId="4" borderId="13" xfId="2" applyNumberFormat="1" applyFont="1" applyFill="1" applyBorder="1"/>
    <xf numFmtId="168" fontId="0" fillId="0" borderId="0" xfId="3" applyNumberFormat="1" applyFont="1"/>
    <xf numFmtId="9" fontId="0" fillId="0" borderId="0" xfId="3" applyFont="1"/>
    <xf numFmtId="9" fontId="0" fillId="0" borderId="0" xfId="0" applyNumberFormat="1"/>
    <xf numFmtId="164" fontId="9" fillId="0" borderId="13" xfId="0" applyNumberFormat="1" applyFont="1" applyBorder="1"/>
    <xf numFmtId="164" fontId="4" fillId="0" borderId="12" xfId="0" applyNumberFormat="1" applyFont="1" applyBorder="1"/>
    <xf numFmtId="164" fontId="4" fillId="0" borderId="13" xfId="0" applyNumberFormat="1" applyFont="1" applyBorder="1"/>
    <xf numFmtId="0" fontId="4" fillId="0" borderId="13" xfId="0" applyFont="1" applyBorder="1"/>
    <xf numFmtId="164" fontId="4" fillId="0" borderId="70" xfId="0" applyNumberFormat="1" applyFont="1" applyBorder="1"/>
    <xf numFmtId="0" fontId="0" fillId="0" borderId="6" xfId="0" applyBorder="1"/>
    <xf numFmtId="0" fontId="4" fillId="0" borderId="10" xfId="0" applyFont="1" applyBorder="1"/>
    <xf numFmtId="0" fontId="4" fillId="10" borderId="12" xfId="0" applyFont="1" applyFill="1" applyBorder="1"/>
    <xf numFmtId="0" fontId="4" fillId="10" borderId="13" xfId="0" applyFont="1" applyFill="1" applyBorder="1"/>
    <xf numFmtId="0" fontId="8" fillId="10" borderId="11" xfId="0" applyFont="1" applyFill="1" applyBorder="1" applyAlignment="1">
      <alignment horizontal="right"/>
    </xf>
    <xf numFmtId="0" fontId="0" fillId="0" borderId="9" xfId="0" applyBorder="1"/>
    <xf numFmtId="0" fontId="8" fillId="0" borderId="0" xfId="0" applyFont="1" applyAlignment="1">
      <alignment horizontal="right"/>
    </xf>
    <xf numFmtId="9" fontId="8" fillId="0" borderId="0" xfId="3" applyFont="1" applyFill="1" applyBorder="1" applyAlignment="1"/>
    <xf numFmtId="9" fontId="4" fillId="0" borderId="0" xfId="3" applyFont="1" applyFill="1" applyBorder="1" applyAlignment="1"/>
    <xf numFmtId="44" fontId="3" fillId="0" borderId="0" xfId="0" applyNumberFormat="1" applyFont="1" applyAlignment="1">
      <alignment horizontal="center"/>
    </xf>
    <xf numFmtId="44" fontId="3" fillId="0" borderId="0" xfId="0" applyNumberFormat="1" applyFont="1"/>
    <xf numFmtId="44" fontId="22" fillId="0" borderId="0" xfId="0" applyNumberFormat="1" applyFont="1"/>
    <xf numFmtId="164" fontId="3" fillId="0" borderId="0" xfId="0" applyNumberFormat="1" applyFont="1"/>
    <xf numFmtId="9" fontId="3" fillId="0" borderId="0" xfId="3" applyFont="1" applyFill="1" applyBorder="1" applyAlignment="1"/>
    <xf numFmtId="0" fontId="22" fillId="0" borderId="0" xfId="0" applyFont="1"/>
    <xf numFmtId="164" fontId="22" fillId="0" borderId="0" xfId="0" applyNumberFormat="1" applyFont="1"/>
    <xf numFmtId="44" fontId="3" fillId="0" borderId="71" xfId="0" applyNumberFormat="1" applyFont="1" applyBorder="1"/>
    <xf numFmtId="0" fontId="3" fillId="0" borderId="69" xfId="0" applyFont="1" applyBorder="1"/>
    <xf numFmtId="0" fontId="4" fillId="0" borderId="25" xfId="0" applyFont="1" applyBorder="1"/>
    <xf numFmtId="164" fontId="4" fillId="0" borderId="24" xfId="0" applyNumberFormat="1" applyFont="1" applyBorder="1"/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4" fillId="4" borderId="0" xfId="0" applyFont="1" applyFill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0" fontId="5" fillId="0" borderId="69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right" vertical="center"/>
    </xf>
    <xf numFmtId="0" fontId="4" fillId="0" borderId="69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69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8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64" fontId="8" fillId="8" borderId="0" xfId="0" applyNumberFormat="1" applyFont="1" applyFill="1" applyAlignment="1">
      <alignment horizontal="center"/>
    </xf>
    <xf numFmtId="0" fontId="5" fillId="0" borderId="69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top"/>
    </xf>
    <xf numFmtId="164" fontId="4" fillId="0" borderId="0" xfId="0" applyNumberFormat="1" applyFont="1" applyAlignment="1">
      <alignment horizontal="center" vertical="center"/>
    </xf>
    <xf numFmtId="165" fontId="4" fillId="5" borderId="0" xfId="0" applyNumberFormat="1" applyFont="1" applyFill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0" fontId="8" fillId="10" borderId="12" xfId="0" applyFont="1" applyFill="1" applyBorder="1" applyAlignment="1">
      <alignment horizontal="left"/>
    </xf>
    <xf numFmtId="9" fontId="4" fillId="6" borderId="11" xfId="3" applyFont="1" applyFill="1" applyBorder="1" applyAlignment="1">
      <alignment horizontal="center"/>
    </xf>
    <xf numFmtId="9" fontId="4" fillId="6" borderId="12" xfId="3" applyFont="1" applyFill="1" applyBorder="1" applyAlignment="1">
      <alignment horizontal="center"/>
    </xf>
    <xf numFmtId="164" fontId="4" fillId="4" borderId="6" xfId="0" applyNumberFormat="1" applyFont="1" applyFill="1" applyBorder="1" applyAlignment="1">
      <alignment horizontal="center"/>
    </xf>
    <xf numFmtId="164" fontId="4" fillId="4" borderId="0" xfId="0" applyNumberFormat="1" applyFont="1" applyFill="1" applyAlignment="1">
      <alignment horizontal="center"/>
    </xf>
    <xf numFmtId="0" fontId="4" fillId="6" borderId="70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4" fillId="6" borderId="69" xfId="0" applyFont="1" applyFill="1" applyBorder="1" applyAlignment="1">
      <alignment horizontal="center"/>
    </xf>
    <xf numFmtId="9" fontId="4" fillId="6" borderId="69" xfId="3" applyFont="1" applyFill="1" applyBorder="1" applyAlignment="1">
      <alignment horizontal="center"/>
    </xf>
    <xf numFmtId="164" fontId="4" fillId="11" borderId="0" xfId="0" applyNumberFormat="1" applyFont="1" applyFill="1" applyAlignment="1">
      <alignment horizontal="center"/>
    </xf>
    <xf numFmtId="164" fontId="4" fillId="11" borderId="7" xfId="0" applyNumberFormat="1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164" fontId="4" fillId="4" borderId="12" xfId="0" applyNumberFormat="1" applyFont="1" applyFill="1" applyBorder="1" applyAlignment="1">
      <alignment horizontal="center"/>
    </xf>
    <xf numFmtId="164" fontId="4" fillId="4" borderId="13" xfId="0" applyNumberFormat="1" applyFont="1" applyFill="1" applyBorder="1" applyAlignment="1">
      <alignment horizontal="center"/>
    </xf>
    <xf numFmtId="0" fontId="21" fillId="10" borderId="11" xfId="2" applyFont="1" applyFill="1" applyBorder="1" applyAlignment="1">
      <alignment horizontal="center"/>
    </xf>
    <xf numFmtId="0" fontId="21" fillId="10" borderId="12" xfId="2" applyFont="1" applyFill="1" applyBorder="1" applyAlignment="1">
      <alignment horizontal="center"/>
    </xf>
    <xf numFmtId="0" fontId="18" fillId="10" borderId="11" xfId="2" applyFont="1" applyFill="1" applyBorder="1" applyAlignment="1">
      <alignment horizontal="center"/>
    </xf>
    <xf numFmtId="0" fontId="18" fillId="10" borderId="12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0" xfId="0"/>
    <xf numFmtId="0" fontId="4" fillId="0" borderId="9" xfId="0" applyFont="1" applyBorder="1" applyAlignment="1">
      <alignment horizontal="center"/>
    </xf>
    <xf numFmtId="0" fontId="4" fillId="0" borderId="61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65" xfId="0" applyFont="1" applyBorder="1" applyAlignment="1">
      <alignment horizontal="left" vertical="center"/>
    </xf>
    <xf numFmtId="0" fontId="4" fillId="0" borderId="54" xfId="0" applyFont="1" applyBorder="1" applyAlignment="1">
      <alignment horizontal="left"/>
    </xf>
    <xf numFmtId="164" fontId="4" fillId="0" borderId="54" xfId="0" applyNumberFormat="1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9" borderId="9" xfId="0" applyFont="1" applyFill="1" applyBorder="1" applyAlignment="1">
      <alignment horizontal="center"/>
    </xf>
    <xf numFmtId="0" fontId="6" fillId="7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20" xfId="0" applyFont="1" applyFill="1" applyBorder="1" applyAlignment="1">
      <alignment horizontal="center"/>
    </xf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21" fillId="10" borderId="13" xfId="2" applyFont="1" applyFill="1" applyBorder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16" xfId="0" applyNumberFormat="1" applyFont="1" applyBorder="1" applyAlignment="1">
      <alignment horizontal="center" vertical="center"/>
    </xf>
    <xf numFmtId="164" fontId="4" fillId="0" borderId="65" xfId="0" applyNumberFormat="1" applyFont="1" applyBorder="1" applyAlignment="1">
      <alignment horizontal="center" vertical="center"/>
    </xf>
    <xf numFmtId="0" fontId="5" fillId="6" borderId="21" xfId="0" applyFont="1" applyFill="1" applyBorder="1" applyAlignment="1">
      <alignment horizontal="center"/>
    </xf>
    <xf numFmtId="0" fontId="5" fillId="6" borderId="20" xfId="0" applyFont="1" applyFill="1" applyBorder="1" applyAlignment="1">
      <alignment horizontal="center"/>
    </xf>
    <xf numFmtId="164" fontId="9" fillId="4" borderId="11" xfId="0" applyNumberFormat="1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164" fontId="4" fillId="0" borderId="38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9" fontId="4" fillId="0" borderId="9" xfId="0" applyNumberFormat="1" applyFont="1" applyBorder="1" applyAlignment="1">
      <alignment horizontal="center"/>
    </xf>
    <xf numFmtId="0" fontId="4" fillId="0" borderId="6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66" xfId="0" applyFont="1" applyBorder="1" applyAlignment="1">
      <alignment horizontal="left" vertical="center"/>
    </xf>
    <xf numFmtId="0" fontId="4" fillId="0" borderId="67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68" xfId="0" applyFont="1" applyBorder="1" applyAlignment="1">
      <alignment horizontal="left" vertical="center"/>
    </xf>
    <xf numFmtId="164" fontId="4" fillId="0" borderId="66" xfId="0" applyNumberFormat="1" applyFont="1" applyBorder="1" applyAlignment="1">
      <alignment horizontal="center" vertical="center"/>
    </xf>
    <xf numFmtId="164" fontId="9" fillId="4" borderId="33" xfId="0" applyNumberFormat="1" applyFont="1" applyFill="1" applyBorder="1" applyAlignment="1">
      <alignment horizontal="center" vertical="center"/>
    </xf>
    <xf numFmtId="164" fontId="9" fillId="4" borderId="68" xfId="0" applyNumberFormat="1" applyFont="1" applyFill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20" fillId="10" borderId="11" xfId="2" applyFont="1" applyFill="1" applyBorder="1" applyAlignment="1">
      <alignment horizontal="center"/>
    </xf>
    <xf numFmtId="0" fontId="20" fillId="10" borderId="12" xfId="2" applyFont="1" applyFill="1" applyBorder="1" applyAlignment="1">
      <alignment horizontal="center"/>
    </xf>
    <xf numFmtId="0" fontId="20" fillId="10" borderId="13" xfId="2" applyFont="1" applyFill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9" fillId="7" borderId="3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4" fillId="0" borderId="61" xfId="0" applyFont="1" applyBorder="1" applyAlignment="1">
      <alignment horizontal="center"/>
    </xf>
    <xf numFmtId="164" fontId="8" fillId="6" borderId="11" xfId="0" applyNumberFormat="1" applyFont="1" applyFill="1" applyBorder="1" applyAlignment="1">
      <alignment horizontal="center"/>
    </xf>
    <xf numFmtId="164" fontId="8" fillId="6" borderId="20" xfId="0" applyNumberFormat="1" applyFont="1" applyFill="1" applyBorder="1" applyAlignment="1">
      <alignment horizontal="center"/>
    </xf>
    <xf numFmtId="164" fontId="4" fillId="6" borderId="11" xfId="0" applyNumberFormat="1" applyFont="1" applyFill="1" applyBorder="1" applyAlignment="1">
      <alignment horizontal="center"/>
    </xf>
    <xf numFmtId="164" fontId="4" fillId="6" borderId="13" xfId="0" applyNumberFormat="1" applyFont="1" applyFill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164" fontId="4" fillId="0" borderId="63" xfId="0" applyNumberFormat="1" applyFont="1" applyBorder="1" applyAlignment="1">
      <alignment horizontal="center"/>
    </xf>
    <xf numFmtId="164" fontId="4" fillId="0" borderId="54" xfId="0" applyNumberFormat="1" applyFont="1" applyBorder="1" applyAlignment="1">
      <alignment horizontal="center" vertical="center"/>
    </xf>
    <xf numFmtId="164" fontId="4" fillId="0" borderId="38" xfId="0" applyNumberFormat="1" applyFont="1" applyBorder="1" applyAlignment="1">
      <alignment horizontal="left"/>
    </xf>
    <xf numFmtId="164" fontId="4" fillId="0" borderId="25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4" fillId="0" borderId="38" xfId="0" applyFont="1" applyBorder="1" applyAlignment="1">
      <alignment horizontal="left"/>
    </xf>
    <xf numFmtId="0" fontId="4" fillId="4" borderId="0" xfId="0" applyFont="1" applyFill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/>
    </xf>
    <xf numFmtId="0" fontId="4" fillId="0" borderId="28" xfId="0" applyFont="1" applyBorder="1" applyAlignment="1">
      <alignment horizontal="left"/>
    </xf>
    <xf numFmtId="164" fontId="4" fillId="0" borderId="28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164" fontId="4" fillId="0" borderId="0" xfId="0" applyNumberFormat="1" applyFont="1" applyAlignment="1">
      <alignment horizontal="left"/>
    </xf>
    <xf numFmtId="164" fontId="4" fillId="0" borderId="26" xfId="0" applyNumberFormat="1" applyFont="1" applyBorder="1" applyAlignment="1">
      <alignment horizontal="center"/>
    </xf>
    <xf numFmtId="164" fontId="4" fillId="0" borderId="28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9" fillId="0" borderId="4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164" fontId="4" fillId="0" borderId="44" xfId="0" applyNumberFormat="1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3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25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4" fillId="0" borderId="23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0</xdr:rowOff>
    </xdr:from>
    <xdr:to>
      <xdr:col>8</xdr:col>
      <xdr:colOff>247650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9850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218394</xdr:colOff>
      <xdr:row>2</xdr:row>
      <xdr:rowOff>102053</xdr:rowOff>
    </xdr:from>
    <xdr:ext cx="3744005" cy="2205553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2794" y="540203"/>
          <a:ext cx="3744005" cy="220555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170770</xdr:colOff>
      <xdr:row>3</xdr:row>
      <xdr:rowOff>6803</xdr:rowOff>
    </xdr:from>
    <xdr:to>
      <xdr:col>4</xdr:col>
      <xdr:colOff>401751</xdr:colOff>
      <xdr:row>11</xdr:row>
      <xdr:rowOff>97806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70" y="727982"/>
          <a:ext cx="2897981" cy="1873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Q43"/>
  <sheetViews>
    <sheetView topLeftCell="A7" workbookViewId="0">
      <selection activeCell="J22" sqref="J22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4" style="1" bestFit="1" customWidth="1"/>
    <col min="9" max="9" width="21.85546875" style="1" customWidth="1"/>
    <col min="10" max="10" width="9.140625" style="1"/>
    <col min="11" max="11" width="13.42578125" style="1" customWidth="1"/>
    <col min="12" max="12" width="12.28515625" style="1" customWidth="1"/>
    <col min="13" max="13" width="11.5703125" style="1" bestFit="1" customWidth="1"/>
    <col min="14" max="15" width="9.140625" style="1"/>
    <col min="16" max="16" width="19.28515625" style="1" customWidth="1"/>
    <col min="17" max="17" width="11.140625" style="1" bestFit="1" customWidth="1"/>
    <col min="18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13" x14ac:dyDescent="0.3">
      <c r="A1" s="227"/>
      <c r="B1" s="227"/>
      <c r="C1" s="227"/>
      <c r="D1" s="227"/>
      <c r="E1" s="227"/>
      <c r="F1" s="227"/>
      <c r="G1" s="227"/>
      <c r="H1" s="227"/>
      <c r="I1" s="227"/>
      <c r="J1" s="227"/>
      <c r="K1" s="227"/>
    </row>
    <row r="2" spans="1:13" x14ac:dyDescent="0.3">
      <c r="A2" s="227"/>
      <c r="B2" s="227"/>
      <c r="C2" s="227"/>
      <c r="D2" s="227"/>
      <c r="E2" s="227"/>
      <c r="F2" s="227"/>
      <c r="G2" s="227"/>
      <c r="H2" s="227"/>
      <c r="I2" s="227"/>
      <c r="J2" s="227"/>
      <c r="K2" s="227"/>
    </row>
    <row r="3" spans="1:13" x14ac:dyDescent="0.3">
      <c r="A3" s="227"/>
      <c r="B3" s="227"/>
      <c r="C3" s="227"/>
      <c r="D3" s="227"/>
      <c r="E3" s="227"/>
      <c r="F3" s="227"/>
      <c r="G3" s="227"/>
      <c r="H3" s="227"/>
      <c r="I3" s="227"/>
      <c r="J3" s="227"/>
      <c r="K3" s="227"/>
    </row>
    <row r="4" spans="1:13" x14ac:dyDescent="0.3">
      <c r="A4" s="227"/>
      <c r="B4" s="227"/>
      <c r="C4" s="227"/>
      <c r="D4" s="227"/>
      <c r="E4" s="227"/>
      <c r="F4" s="227"/>
      <c r="G4" s="227"/>
      <c r="H4" s="227"/>
      <c r="I4" s="227"/>
      <c r="J4" s="227"/>
      <c r="K4" s="227"/>
    </row>
    <row r="5" spans="1:13" x14ac:dyDescent="0.3">
      <c r="A5" s="227"/>
      <c r="B5" s="227"/>
      <c r="C5" s="227"/>
      <c r="D5" s="227"/>
      <c r="E5" s="227"/>
      <c r="F5" s="227"/>
      <c r="G5" s="227"/>
      <c r="H5" s="227"/>
      <c r="I5" s="227"/>
      <c r="J5" s="227"/>
      <c r="K5" s="227"/>
    </row>
    <row r="6" spans="1:13" x14ac:dyDescent="0.3">
      <c r="A6" s="227"/>
      <c r="B6" s="227"/>
      <c r="C6" s="227"/>
      <c r="D6" s="227"/>
      <c r="E6" s="227"/>
      <c r="F6" s="227"/>
      <c r="G6" s="227"/>
      <c r="H6" s="227"/>
      <c r="I6" s="227"/>
      <c r="J6" s="227"/>
      <c r="K6" s="227"/>
    </row>
    <row r="7" spans="1:13" x14ac:dyDescent="0.3">
      <c r="A7" s="227"/>
      <c r="B7" s="227"/>
      <c r="C7" s="227"/>
      <c r="D7" s="227"/>
      <c r="E7" s="227"/>
      <c r="F7" s="227"/>
      <c r="G7" s="227"/>
      <c r="H7" s="227"/>
      <c r="I7" s="227"/>
      <c r="J7" s="227"/>
      <c r="K7" s="227"/>
    </row>
    <row r="8" spans="1:13" x14ac:dyDescent="0.3">
      <c r="A8" s="227"/>
      <c r="B8" s="227"/>
      <c r="C8" s="227"/>
      <c r="D8" s="227"/>
      <c r="E8" s="227"/>
      <c r="F8" s="227"/>
      <c r="G8" s="227"/>
      <c r="H8" s="227"/>
      <c r="I8" s="227"/>
      <c r="J8" s="227"/>
      <c r="K8" s="227"/>
    </row>
    <row r="9" spans="1:13" x14ac:dyDescent="0.3">
      <c r="A9" s="227"/>
      <c r="B9" s="227"/>
      <c r="C9" s="227"/>
      <c r="D9" s="227"/>
      <c r="E9" s="227"/>
      <c r="F9" s="227"/>
      <c r="G9" s="227"/>
      <c r="H9" s="227"/>
      <c r="I9" s="227"/>
      <c r="J9" s="227"/>
      <c r="K9" s="227"/>
    </row>
    <row r="10" spans="1:13" x14ac:dyDescent="0.3">
      <c r="A10" s="227"/>
      <c r="B10" s="227"/>
      <c r="C10" s="227"/>
      <c r="D10" s="227"/>
      <c r="E10" s="227"/>
      <c r="F10" s="227"/>
      <c r="G10" s="227"/>
      <c r="H10" s="227"/>
      <c r="I10" s="227"/>
      <c r="J10" s="227"/>
      <c r="K10" s="227"/>
    </row>
    <row r="11" spans="1:13" ht="21" thickBot="1" x14ac:dyDescent="0.35">
      <c r="A11" s="225" t="s">
        <v>8</v>
      </c>
      <c r="B11" s="226"/>
      <c r="C11" s="226"/>
      <c r="D11" s="226"/>
      <c r="E11" s="226"/>
      <c r="F11" s="226"/>
      <c r="G11" s="226"/>
      <c r="H11" s="226"/>
      <c r="I11" s="226"/>
      <c r="J11" s="226"/>
      <c r="K11" s="226"/>
      <c r="M11" s="8"/>
    </row>
    <row r="12" spans="1:13" ht="18.75" customHeight="1" thickBot="1" x14ac:dyDescent="0.35">
      <c r="A12" s="171" t="s">
        <v>147</v>
      </c>
      <c r="B12" s="232" t="s">
        <v>1</v>
      </c>
      <c r="C12" s="232"/>
      <c r="D12" s="170" t="s">
        <v>0</v>
      </c>
      <c r="E12" s="243" t="s">
        <v>2</v>
      </c>
      <c r="F12" s="243"/>
      <c r="G12" s="243"/>
      <c r="H12" s="242" t="s">
        <v>12</v>
      </c>
      <c r="I12" s="242"/>
      <c r="J12" s="228" t="s">
        <v>5</v>
      </c>
      <c r="K12" s="229"/>
    </row>
    <row r="13" spans="1:13" x14ac:dyDescent="0.3">
      <c r="A13" s="5">
        <v>1</v>
      </c>
      <c r="B13" s="236" t="s">
        <v>6</v>
      </c>
      <c r="C13" s="236"/>
      <c r="D13" s="1" t="s">
        <v>3</v>
      </c>
      <c r="E13" s="6"/>
      <c r="F13" s="231">
        <v>40870</v>
      </c>
      <c r="G13" s="231"/>
      <c r="H13" s="7">
        <v>0.15</v>
      </c>
      <c r="I13" s="6">
        <f>F13*H13</f>
        <v>6130.5</v>
      </c>
      <c r="J13" s="230">
        <f>F13+I13</f>
        <v>47000.5</v>
      </c>
      <c r="K13" s="230"/>
      <c r="M13" s="6"/>
    </row>
    <row r="14" spans="1:13" x14ac:dyDescent="0.3">
      <c r="A14" s="5">
        <v>2</v>
      </c>
      <c r="B14" s="233" t="s">
        <v>7</v>
      </c>
      <c r="C14" s="233"/>
      <c r="D14" s="1" t="s">
        <v>3</v>
      </c>
      <c r="F14" s="234">
        <v>38000</v>
      </c>
      <c r="G14" s="234"/>
      <c r="H14" s="7">
        <v>0.15</v>
      </c>
      <c r="I14" s="6">
        <f>F14*H14</f>
        <v>5700</v>
      </c>
      <c r="J14" s="231">
        <f>F14+I14</f>
        <v>43700</v>
      </c>
      <c r="K14" s="231"/>
    </row>
    <row r="15" spans="1:13" x14ac:dyDescent="0.3">
      <c r="A15" s="5">
        <v>3</v>
      </c>
      <c r="B15" s="240" t="s">
        <v>156</v>
      </c>
      <c r="C15" s="240"/>
      <c r="D15" s="1" t="s">
        <v>155</v>
      </c>
      <c r="F15" s="234">
        <v>24000</v>
      </c>
      <c r="G15" s="234"/>
      <c r="H15" s="7">
        <v>0.15</v>
      </c>
      <c r="I15" s="6">
        <f>F15*H15</f>
        <v>3600</v>
      </c>
      <c r="J15" s="231">
        <f>F15+I15</f>
        <v>27600</v>
      </c>
      <c r="K15" s="231"/>
      <c r="L15" s="1" t="s">
        <v>157</v>
      </c>
    </row>
    <row r="16" spans="1:13" x14ac:dyDescent="0.3">
      <c r="A16" s="5"/>
    </row>
    <row r="17" spans="1:17" ht="21" thickBot="1" x14ac:dyDescent="0.35">
      <c r="A17" s="238" t="s">
        <v>9</v>
      </c>
      <c r="B17" s="238"/>
      <c r="C17" s="238"/>
      <c r="D17" s="238"/>
      <c r="E17" s="238"/>
      <c r="F17" s="238"/>
      <c r="G17" s="238"/>
      <c r="H17" s="238"/>
      <c r="I17" s="238"/>
      <c r="J17" s="238"/>
      <c r="K17" s="238"/>
    </row>
    <row r="18" spans="1:17" ht="18" thickBot="1" x14ac:dyDescent="0.35">
      <c r="A18" s="155" t="s">
        <v>147</v>
      </c>
      <c r="B18" s="235" t="s">
        <v>10</v>
      </c>
      <c r="C18" s="235"/>
      <c r="D18" s="237" t="s">
        <v>13</v>
      </c>
      <c r="E18" s="237"/>
      <c r="F18" s="235" t="s">
        <v>11</v>
      </c>
      <c r="G18" s="235"/>
      <c r="H18" s="172" t="s">
        <v>148</v>
      </c>
      <c r="I18" s="173" t="s">
        <v>98</v>
      </c>
      <c r="J18" s="239" t="s">
        <v>14</v>
      </c>
      <c r="K18" s="239"/>
      <c r="L18" s="204" t="s">
        <v>99</v>
      </c>
      <c r="M18" s="201"/>
      <c r="N18" s="202"/>
      <c r="O18" s="203"/>
    </row>
    <row r="19" spans="1:17" x14ac:dyDescent="0.3">
      <c r="A19" s="5">
        <v>1</v>
      </c>
      <c r="B19" s="233">
        <v>21</v>
      </c>
      <c r="C19" s="233"/>
      <c r="D19" s="244">
        <f>J13/B19</f>
        <v>2238.1190476190477</v>
      </c>
      <c r="E19" s="244"/>
      <c r="F19" s="233">
        <v>8</v>
      </c>
      <c r="G19" s="233"/>
      <c r="H19" s="127">
        <f>D19/F19</f>
        <v>279.76488095238096</v>
      </c>
      <c r="I19" s="2">
        <v>2.4</v>
      </c>
      <c r="J19" s="245">
        <f>ROUNDUP(H19*I19,-0.5)</f>
        <v>672</v>
      </c>
      <c r="K19" s="245"/>
      <c r="L19" s="241">
        <f>J19*F19</f>
        <v>5376</v>
      </c>
      <c r="M19" s="241"/>
      <c r="N19" s="241"/>
      <c r="O19" s="241"/>
      <c r="P19" s="1" t="s">
        <v>154</v>
      </c>
      <c r="Q19" s="1" t="s">
        <v>3</v>
      </c>
    </row>
    <row r="20" spans="1:17" x14ac:dyDescent="0.3">
      <c r="A20" s="5">
        <v>2</v>
      </c>
      <c r="B20" s="233">
        <v>21</v>
      </c>
      <c r="C20" s="233"/>
      <c r="D20" s="244">
        <f>J14/B20</f>
        <v>2080.9523809523807</v>
      </c>
      <c r="E20" s="244"/>
      <c r="F20" s="233">
        <v>8</v>
      </c>
      <c r="G20" s="233"/>
      <c r="H20" s="127">
        <f>D20/F20</f>
        <v>260.11904761904759</v>
      </c>
      <c r="I20" s="2">
        <v>2.4</v>
      </c>
      <c r="J20" s="245">
        <f>ROUNDUP(H20*I20,-0.5)</f>
        <v>625</v>
      </c>
      <c r="K20" s="245"/>
      <c r="L20" s="241">
        <f>J20*F20</f>
        <v>5000</v>
      </c>
      <c r="M20" s="241"/>
      <c r="N20" s="241"/>
      <c r="O20" s="241"/>
      <c r="P20" s="1" t="s">
        <v>119</v>
      </c>
      <c r="Q20" s="1" t="s">
        <v>3</v>
      </c>
    </row>
    <row r="21" spans="1:17" x14ac:dyDescent="0.3">
      <c r="A21" s="5">
        <v>3</v>
      </c>
      <c r="B21" s="240">
        <v>21</v>
      </c>
      <c r="C21" s="240"/>
      <c r="D21" s="246">
        <f>J15/B21</f>
        <v>1314.2857142857142</v>
      </c>
      <c r="E21" s="240"/>
      <c r="F21" s="233">
        <v>8</v>
      </c>
      <c r="G21" s="233"/>
      <c r="H21" s="127">
        <f>D21/F21</f>
        <v>164.28571428571428</v>
      </c>
      <c r="I21" s="1">
        <v>2.4</v>
      </c>
      <c r="J21" s="245">
        <f>ROUNDUP(H21*I21,-0.5)</f>
        <v>395</v>
      </c>
      <c r="K21" s="245"/>
      <c r="L21" s="241">
        <f>J21*F21</f>
        <v>3160</v>
      </c>
      <c r="M21" s="241"/>
      <c r="N21" s="241"/>
      <c r="O21" s="241"/>
      <c r="P21" s="1" t="str">
        <f>B15</f>
        <v>Johan Hugo</v>
      </c>
      <c r="Q21" s="1" t="s">
        <v>158</v>
      </c>
    </row>
    <row r="22" spans="1:17" x14ac:dyDescent="0.3">
      <c r="A22" s="5"/>
    </row>
    <row r="23" spans="1:17" x14ac:dyDescent="0.3">
      <c r="A23" s="5"/>
      <c r="B23"/>
      <c r="C23"/>
      <c r="D23"/>
      <c r="E23"/>
      <c r="F23"/>
      <c r="G23"/>
      <c r="H23"/>
      <c r="I23"/>
      <c r="J23"/>
      <c r="K23"/>
      <c r="L23"/>
      <c r="M23"/>
    </row>
    <row r="24" spans="1:17" x14ac:dyDescent="0.3">
      <c r="A24" s="5"/>
      <c r="B24"/>
      <c r="C24"/>
      <c r="D24"/>
      <c r="E24"/>
      <c r="F24"/>
      <c r="G24"/>
      <c r="H24"/>
      <c r="I24"/>
      <c r="J24"/>
      <c r="K24"/>
      <c r="L24"/>
      <c r="M24"/>
    </row>
    <row r="25" spans="1:17" x14ac:dyDescent="0.3">
      <c r="A25" s="5"/>
      <c r="B25"/>
      <c r="C25"/>
      <c r="D25"/>
      <c r="E25"/>
      <c r="F25"/>
      <c r="G25"/>
      <c r="H25"/>
      <c r="I25"/>
      <c r="J25"/>
      <c r="K25"/>
      <c r="L25"/>
      <c r="M25"/>
    </row>
    <row r="26" spans="1:17" x14ac:dyDescent="0.3">
      <c r="A26" s="5"/>
      <c r="B26"/>
      <c r="C26"/>
      <c r="D26"/>
      <c r="E26"/>
      <c r="F26"/>
      <c r="G26"/>
      <c r="H26"/>
      <c r="I26"/>
      <c r="J26"/>
      <c r="K26"/>
      <c r="L26"/>
      <c r="M26"/>
    </row>
    <row r="27" spans="1:17" x14ac:dyDescent="0.3">
      <c r="A27" s="5"/>
      <c r="B27"/>
      <c r="C27"/>
      <c r="D27"/>
      <c r="E27"/>
      <c r="F27"/>
      <c r="G27"/>
      <c r="H27"/>
      <c r="I27"/>
      <c r="J27"/>
      <c r="K27"/>
      <c r="L27"/>
      <c r="M27"/>
    </row>
    <row r="28" spans="1:17" x14ac:dyDescent="0.3">
      <c r="A28" s="5"/>
      <c r="B28"/>
      <c r="C28"/>
      <c r="D28"/>
      <c r="E28"/>
      <c r="F28"/>
      <c r="G28"/>
      <c r="H28"/>
      <c r="I28"/>
      <c r="J28"/>
      <c r="K28"/>
      <c r="L28"/>
      <c r="M28"/>
    </row>
    <row r="29" spans="1:17" x14ac:dyDescent="0.3">
      <c r="A29" s="5"/>
      <c r="B29"/>
      <c r="C29"/>
      <c r="D29"/>
      <c r="E29"/>
      <c r="F29"/>
      <c r="G29"/>
      <c r="H29"/>
      <c r="I29"/>
      <c r="J29"/>
      <c r="K29"/>
      <c r="L29"/>
      <c r="M29"/>
    </row>
    <row r="30" spans="1:17" x14ac:dyDescent="0.3">
      <c r="A30" s="5"/>
      <c r="B30"/>
      <c r="C30"/>
      <c r="D30"/>
      <c r="E30"/>
      <c r="F30"/>
      <c r="G30"/>
      <c r="H30"/>
      <c r="I30"/>
      <c r="J30"/>
      <c r="K30"/>
      <c r="L30"/>
      <c r="M30"/>
    </row>
    <row r="31" spans="1:17" x14ac:dyDescent="0.3">
      <c r="A31" s="5"/>
      <c r="B31"/>
      <c r="C31"/>
      <c r="D31"/>
      <c r="E31"/>
      <c r="F31"/>
      <c r="G31"/>
      <c r="H31"/>
      <c r="I31"/>
      <c r="J31"/>
      <c r="K31"/>
      <c r="L31"/>
      <c r="M31"/>
    </row>
    <row r="32" spans="1:17" x14ac:dyDescent="0.3">
      <c r="B32"/>
      <c r="C32"/>
      <c r="D32"/>
      <c r="E32"/>
      <c r="F32"/>
      <c r="G32"/>
      <c r="H32"/>
      <c r="I32"/>
      <c r="J32"/>
      <c r="K32"/>
      <c r="L32"/>
      <c r="M32"/>
    </row>
    <row r="33" spans="2:13" x14ac:dyDescent="0.3">
      <c r="B33"/>
      <c r="C33"/>
      <c r="D33"/>
      <c r="E33"/>
      <c r="F33"/>
      <c r="G33"/>
      <c r="H33"/>
      <c r="I33"/>
      <c r="J33"/>
      <c r="K33"/>
      <c r="L33"/>
      <c r="M33"/>
    </row>
    <row r="34" spans="2:13" x14ac:dyDescent="0.3">
      <c r="B34"/>
      <c r="C34"/>
      <c r="D34"/>
      <c r="E34"/>
      <c r="F34"/>
      <c r="G34"/>
      <c r="H34"/>
      <c r="I34"/>
      <c r="J34"/>
      <c r="K34"/>
      <c r="L34"/>
      <c r="M34"/>
    </row>
    <row r="35" spans="2:13" x14ac:dyDescent="0.3">
      <c r="B35"/>
      <c r="C35"/>
      <c r="D35"/>
      <c r="E35"/>
      <c r="F35"/>
      <c r="G35"/>
      <c r="H35"/>
      <c r="I35"/>
      <c r="J35"/>
      <c r="K35"/>
      <c r="L35"/>
      <c r="M35"/>
    </row>
    <row r="36" spans="2:13" x14ac:dyDescent="0.3">
      <c r="B36"/>
      <c r="C36"/>
      <c r="D36"/>
      <c r="E36"/>
      <c r="F36"/>
      <c r="G36"/>
      <c r="H36"/>
      <c r="I36"/>
      <c r="J36"/>
      <c r="K36"/>
      <c r="L36"/>
      <c r="M36"/>
    </row>
    <row r="37" spans="2:13" x14ac:dyDescent="0.3">
      <c r="B37"/>
      <c r="C37"/>
      <c r="D37"/>
      <c r="E37"/>
      <c r="F37"/>
      <c r="G37"/>
      <c r="H37"/>
      <c r="I37"/>
      <c r="J37"/>
      <c r="K37"/>
      <c r="L37"/>
      <c r="M37"/>
    </row>
    <row r="38" spans="2:13" x14ac:dyDescent="0.3">
      <c r="B38"/>
      <c r="C38"/>
      <c r="D38"/>
      <c r="E38"/>
      <c r="F38"/>
      <c r="G38"/>
      <c r="H38"/>
      <c r="I38"/>
      <c r="J38"/>
      <c r="K38"/>
      <c r="L38"/>
      <c r="M38"/>
    </row>
    <row r="39" spans="2:13" x14ac:dyDescent="0.3">
      <c r="B39"/>
      <c r="C39"/>
      <c r="D39"/>
      <c r="E39"/>
      <c r="F39"/>
      <c r="G39"/>
      <c r="H39"/>
      <c r="I39"/>
      <c r="J39"/>
      <c r="K39"/>
      <c r="L39"/>
      <c r="M39"/>
    </row>
    <row r="40" spans="2:13" x14ac:dyDescent="0.3">
      <c r="B40"/>
      <c r="C40"/>
      <c r="D40"/>
      <c r="E40"/>
      <c r="F40"/>
      <c r="G40"/>
      <c r="H40"/>
      <c r="I40"/>
      <c r="J40"/>
      <c r="K40"/>
      <c r="L40"/>
      <c r="M40"/>
    </row>
    <row r="41" spans="2:13" x14ac:dyDescent="0.3">
      <c r="B41"/>
      <c r="C41"/>
      <c r="D41"/>
      <c r="E41"/>
      <c r="F41"/>
      <c r="G41"/>
      <c r="H41"/>
      <c r="I41"/>
      <c r="J41"/>
      <c r="K41"/>
      <c r="L41"/>
      <c r="M41"/>
    </row>
    <row r="42" spans="2:13" x14ac:dyDescent="0.3">
      <c r="B42"/>
      <c r="C42"/>
      <c r="D42"/>
      <c r="E42"/>
      <c r="F42"/>
      <c r="G42"/>
      <c r="H42"/>
      <c r="I42"/>
      <c r="J42"/>
      <c r="K42"/>
      <c r="L42"/>
      <c r="M42"/>
    </row>
    <row r="43" spans="2:13" x14ac:dyDescent="0.3">
      <c r="B43"/>
      <c r="C43"/>
      <c r="D43"/>
      <c r="E43"/>
      <c r="F43"/>
      <c r="G43"/>
      <c r="H43"/>
      <c r="I43"/>
      <c r="J43"/>
      <c r="K43"/>
      <c r="L43"/>
      <c r="M43"/>
    </row>
  </sheetData>
  <mergeCells count="35">
    <mergeCell ref="B21:C21"/>
    <mergeCell ref="D21:E21"/>
    <mergeCell ref="F21:G21"/>
    <mergeCell ref="J21:K21"/>
    <mergeCell ref="B20:C20"/>
    <mergeCell ref="L21:O21"/>
    <mergeCell ref="L19:O19"/>
    <mergeCell ref="L20:O20"/>
    <mergeCell ref="H12:I12"/>
    <mergeCell ref="E12:G12"/>
    <mergeCell ref="D19:E19"/>
    <mergeCell ref="D20:E20"/>
    <mergeCell ref="F20:G20"/>
    <mergeCell ref="J19:K19"/>
    <mergeCell ref="J20:K20"/>
    <mergeCell ref="F15:G15"/>
    <mergeCell ref="J15:K15"/>
    <mergeCell ref="B18:C18"/>
    <mergeCell ref="F19:G19"/>
    <mergeCell ref="B19:C19"/>
    <mergeCell ref="B13:C13"/>
    <mergeCell ref="F13:G13"/>
    <mergeCell ref="D18:E18"/>
    <mergeCell ref="F18:G18"/>
    <mergeCell ref="A17:K17"/>
    <mergeCell ref="J18:K18"/>
    <mergeCell ref="B15:C15"/>
    <mergeCell ref="A11:K11"/>
    <mergeCell ref="A1:K10"/>
    <mergeCell ref="J12:K12"/>
    <mergeCell ref="J13:K13"/>
    <mergeCell ref="J14:K14"/>
    <mergeCell ref="B12:C12"/>
    <mergeCell ref="B14:C14"/>
    <mergeCell ref="F14:G14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C2F01-8A02-4A90-8BAC-363075A2A9B5}">
  <sheetPr>
    <pageSetUpPr fitToPage="1"/>
  </sheetPr>
  <dimension ref="A1:S33"/>
  <sheetViews>
    <sheetView workbookViewId="0">
      <selection activeCell="F21" sqref="F21"/>
    </sheetView>
  </sheetViews>
  <sheetFormatPr defaultRowHeight="15" x14ac:dyDescent="0.25"/>
  <cols>
    <col min="1" max="1" width="6.42578125" customWidth="1"/>
    <col min="3" max="3" width="14.28515625" customWidth="1"/>
    <col min="4" max="4" width="10.140625" bestFit="1" customWidth="1"/>
    <col min="5" max="5" width="13.140625" bestFit="1" customWidth="1"/>
    <col min="6" max="6" width="11.7109375" bestFit="1" customWidth="1"/>
    <col min="8" max="8" width="14.42578125" bestFit="1" customWidth="1"/>
    <col min="10" max="10" width="20.42578125" customWidth="1"/>
  </cols>
  <sheetData>
    <row r="1" spans="1:19" ht="18" thickBot="1" x14ac:dyDescent="0.35">
      <c r="B1" s="1"/>
      <c r="C1" s="1"/>
      <c r="D1" s="1"/>
      <c r="E1" s="1"/>
      <c r="F1" s="1"/>
      <c r="G1" s="1"/>
      <c r="H1" s="1"/>
      <c r="L1" s="1"/>
      <c r="M1" s="1"/>
    </row>
    <row r="2" spans="1:19" ht="18" thickBot="1" x14ac:dyDescent="0.35">
      <c r="A2" s="209" t="s">
        <v>153</v>
      </c>
      <c r="B2" s="247" t="s">
        <v>159</v>
      </c>
      <c r="C2" s="247"/>
      <c r="D2" s="247"/>
      <c r="E2" s="247"/>
      <c r="F2" s="247"/>
      <c r="G2" s="207"/>
      <c r="H2" s="207"/>
      <c r="I2" s="166"/>
      <c r="J2" s="166"/>
      <c r="K2" s="166"/>
      <c r="L2" s="207"/>
      <c r="M2" s="208"/>
    </row>
    <row r="3" spans="1:19" ht="18" thickBot="1" x14ac:dyDescent="0.35">
      <c r="A3" s="205"/>
      <c r="B3" s="1"/>
      <c r="C3" s="1"/>
      <c r="D3" s="1"/>
      <c r="E3" s="1"/>
      <c r="F3" s="1"/>
      <c r="G3" s="1"/>
      <c r="H3" s="1"/>
      <c r="L3" s="1"/>
      <c r="M3" s="20"/>
    </row>
    <row r="4" spans="1:19" ht="18" thickBot="1" x14ac:dyDescent="0.35">
      <c r="A4" s="248" t="s">
        <v>149</v>
      </c>
      <c r="B4" s="249"/>
      <c r="C4" s="249"/>
      <c r="D4" s="256" t="s">
        <v>139</v>
      </c>
      <c r="E4" s="256"/>
      <c r="F4" s="255" t="s">
        <v>134</v>
      </c>
      <c r="G4" s="255"/>
      <c r="H4" s="255"/>
      <c r="I4" s="255" t="s">
        <v>137</v>
      </c>
      <c r="J4" s="255"/>
      <c r="K4" s="252" t="s">
        <v>135</v>
      </c>
      <c r="L4" s="253"/>
      <c r="M4" s="254"/>
    </row>
    <row r="5" spans="1:19" ht="17.25" x14ac:dyDescent="0.3">
      <c r="A5" s="250">
        <v>16300</v>
      </c>
      <c r="B5" s="251"/>
      <c r="C5" s="251"/>
      <c r="D5" s="246">
        <f>A5*0.05</f>
        <v>815</v>
      </c>
      <c r="E5" s="246"/>
      <c r="F5" s="246">
        <f>A5-D5</f>
        <v>15485</v>
      </c>
      <c r="G5" s="246"/>
      <c r="H5" s="246"/>
      <c r="I5" s="251">
        <f>F5-K5</f>
        <v>9032.9166666666661</v>
      </c>
      <c r="J5" s="251"/>
      <c r="K5" s="257">
        <f>F5/2.4</f>
        <v>6452.0833333333339</v>
      </c>
      <c r="L5" s="257"/>
      <c r="M5" s="258"/>
    </row>
    <row r="6" spans="1:19" ht="18" thickBot="1" x14ac:dyDescent="0.35">
      <c r="A6" s="205"/>
      <c r="E6" s="168"/>
      <c r="G6" s="1"/>
      <c r="H6" s="1"/>
      <c r="L6" s="1"/>
      <c r="M6" s="20"/>
    </row>
    <row r="7" spans="1:19" ht="18" thickBot="1" x14ac:dyDescent="0.35">
      <c r="A7" s="248" t="s">
        <v>139</v>
      </c>
      <c r="B7" s="249"/>
      <c r="C7" s="249"/>
      <c r="D7" s="260">
        <f>D5</f>
        <v>815</v>
      </c>
      <c r="E7" s="261"/>
      <c r="H7" s="1"/>
      <c r="I7" s="1"/>
      <c r="J7" s="1"/>
      <c r="K7" s="1"/>
      <c r="L7" s="1"/>
      <c r="M7" s="20"/>
    </row>
    <row r="8" spans="1:19" ht="18" thickBot="1" x14ac:dyDescent="0.35">
      <c r="A8" s="248" t="s">
        <v>136</v>
      </c>
      <c r="B8" s="249"/>
      <c r="C8" s="249"/>
      <c r="D8" s="260">
        <f>I5*0.15</f>
        <v>1354.9374999999998</v>
      </c>
      <c r="E8" s="261"/>
      <c r="I8" s="1"/>
      <c r="J8" s="1"/>
      <c r="K8" s="1"/>
      <c r="L8" s="1"/>
      <c r="M8" s="20"/>
    </row>
    <row r="9" spans="1:19" ht="18" thickBot="1" x14ac:dyDescent="0.35">
      <c r="A9" s="259" t="s">
        <v>152</v>
      </c>
      <c r="B9" s="253"/>
      <c r="C9" s="253"/>
      <c r="D9" s="260">
        <f>I5-D8</f>
        <v>7677.9791666666661</v>
      </c>
      <c r="E9" s="261"/>
      <c r="F9" s="210"/>
      <c r="G9" s="210"/>
      <c r="H9" s="210"/>
      <c r="I9" s="21"/>
      <c r="J9" s="21"/>
      <c r="K9" s="21"/>
      <c r="L9" s="21"/>
      <c r="M9" s="206"/>
    </row>
    <row r="11" spans="1:19" ht="15.75" x14ac:dyDescent="0.25">
      <c r="A11" s="211"/>
      <c r="B11" s="212"/>
      <c r="C11" s="212"/>
      <c r="D11" s="212"/>
      <c r="E11" s="212"/>
      <c r="F11" s="212"/>
    </row>
    <row r="12" spans="1:19" ht="17.25" x14ac:dyDescent="0.3">
      <c r="B12" s="1"/>
      <c r="C12" s="1"/>
      <c r="I12" s="1"/>
      <c r="J12" s="1"/>
      <c r="K12" s="1"/>
      <c r="L12" s="1"/>
      <c r="M12" s="1"/>
    </row>
    <row r="13" spans="1:19" ht="17.25" x14ac:dyDescent="0.3">
      <c r="A13" s="213"/>
      <c r="B13" s="213"/>
      <c r="C13" s="213"/>
      <c r="D13" s="213"/>
      <c r="E13" s="213"/>
      <c r="F13" s="1"/>
      <c r="G13" s="1"/>
      <c r="H13" s="1"/>
      <c r="I13" s="1"/>
      <c r="J13" s="1"/>
      <c r="K13" s="1"/>
      <c r="L13" s="1"/>
      <c r="M13" s="1"/>
    </row>
    <row r="14" spans="1:19" ht="16.5" x14ac:dyDescent="0.3">
      <c r="A14" s="217"/>
      <c r="B14" s="217"/>
      <c r="C14" s="217"/>
      <c r="D14" s="217"/>
      <c r="E14" s="217" t="s">
        <v>160</v>
      </c>
      <c r="F14" s="217" t="s">
        <v>161</v>
      </c>
      <c r="G14" s="217"/>
      <c r="H14" s="217" t="s">
        <v>119</v>
      </c>
      <c r="I14" s="217"/>
      <c r="J14" s="217"/>
      <c r="K14" s="217"/>
      <c r="L14" s="217"/>
      <c r="M14" s="217"/>
    </row>
    <row r="15" spans="1:19" ht="16.5" x14ac:dyDescent="0.3">
      <c r="A15" s="195"/>
      <c r="B15" s="195"/>
      <c r="C15" s="195"/>
      <c r="D15" s="195" t="s">
        <v>162</v>
      </c>
      <c r="E15" s="214">
        <v>2377.17</v>
      </c>
      <c r="F15" s="215">
        <v>1429.88</v>
      </c>
      <c r="G15" s="195"/>
      <c r="H15" s="215">
        <v>11319.86</v>
      </c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</row>
    <row r="16" spans="1:19" ht="16.5" x14ac:dyDescent="0.3">
      <c r="A16" s="218"/>
      <c r="B16" s="218"/>
      <c r="C16" s="218"/>
      <c r="D16" s="217" t="s">
        <v>162</v>
      </c>
      <c r="E16" s="215">
        <v>2377.17</v>
      </c>
      <c r="F16" s="215">
        <v>1429.88</v>
      </c>
      <c r="G16" s="195"/>
      <c r="H16" s="215">
        <v>11319.86</v>
      </c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</row>
    <row r="17" spans="1:19" ht="16.5" x14ac:dyDescent="0.3">
      <c r="A17" s="218"/>
      <c r="B17" s="218"/>
      <c r="C17" s="218"/>
      <c r="D17" s="217" t="s">
        <v>163</v>
      </c>
      <c r="E17" s="215">
        <v>1704.06</v>
      </c>
      <c r="F17" s="215">
        <v>1025</v>
      </c>
      <c r="G17" s="195"/>
      <c r="H17" s="215">
        <v>8114.58</v>
      </c>
      <c r="I17" s="195"/>
      <c r="J17" s="195"/>
      <c r="K17" s="195"/>
      <c r="L17" s="195"/>
      <c r="M17" s="195"/>
      <c r="N17" s="195"/>
      <c r="O17" s="195"/>
      <c r="P17" s="195"/>
      <c r="Q17" s="195"/>
      <c r="R17" s="195"/>
      <c r="S17" s="195"/>
    </row>
    <row r="18" spans="1:19" ht="17.25" thickBot="1" x14ac:dyDescent="0.35">
      <c r="A18" s="195"/>
      <c r="B18" s="195"/>
      <c r="C18" s="195"/>
      <c r="D18" s="217" t="s">
        <v>164</v>
      </c>
      <c r="E18" s="215">
        <v>1354.94</v>
      </c>
      <c r="F18" s="215">
        <v>815</v>
      </c>
      <c r="G18" s="195"/>
      <c r="H18" s="215">
        <v>6452.08</v>
      </c>
      <c r="I18" s="195"/>
      <c r="J18" s="195"/>
      <c r="K18" s="195"/>
      <c r="L18" s="195"/>
      <c r="M18" s="195"/>
      <c r="N18" s="195"/>
      <c r="O18" s="195"/>
      <c r="P18" s="195"/>
      <c r="Q18" s="195"/>
      <c r="R18" s="195"/>
      <c r="S18" s="195"/>
    </row>
    <row r="19" spans="1:19" ht="17.25" thickBot="1" x14ac:dyDescent="0.35">
      <c r="A19" s="195"/>
      <c r="B19" s="195"/>
      <c r="C19" s="195"/>
      <c r="D19" s="195"/>
      <c r="E19" s="221">
        <f>SUM(E15:E18)</f>
        <v>7813.34</v>
      </c>
      <c r="F19" s="221">
        <f>SUM(F15:F18)</f>
        <v>4699.76</v>
      </c>
      <c r="G19" s="222"/>
      <c r="H19" s="221">
        <f>SUM(H15:H18)</f>
        <v>37206.380000000005</v>
      </c>
      <c r="I19" s="195"/>
      <c r="J19" s="195"/>
      <c r="K19" s="195"/>
      <c r="L19" s="195"/>
      <c r="M19" s="195"/>
      <c r="N19" s="195"/>
      <c r="O19" s="195"/>
      <c r="P19" s="195"/>
      <c r="Q19" s="195"/>
      <c r="R19" s="195"/>
      <c r="S19" s="195"/>
    </row>
    <row r="20" spans="1:19" ht="16.5" x14ac:dyDescent="0.3">
      <c r="A20" s="195"/>
      <c r="B20" s="195"/>
      <c r="C20" s="195"/>
      <c r="D20" s="195"/>
      <c r="E20" s="215"/>
      <c r="F20" s="215"/>
      <c r="G20" s="195"/>
      <c r="H20" s="215">
        <v>30000</v>
      </c>
      <c r="I20" s="195" t="s">
        <v>165</v>
      </c>
      <c r="J20" s="215"/>
      <c r="K20" s="195"/>
      <c r="L20" s="195"/>
      <c r="M20" s="195"/>
      <c r="N20" s="195"/>
      <c r="O20" s="195"/>
      <c r="P20" s="195"/>
      <c r="Q20" s="195"/>
      <c r="R20" s="195"/>
      <c r="S20" s="195"/>
    </row>
    <row r="21" spans="1:19" ht="16.5" x14ac:dyDescent="0.3">
      <c r="A21" s="219"/>
      <c r="B21" s="219"/>
      <c r="C21" s="219"/>
      <c r="D21" s="220"/>
      <c r="E21" s="216"/>
      <c r="F21" s="215"/>
      <c r="G21" s="195"/>
      <c r="H21" s="215"/>
      <c r="I21" s="219"/>
      <c r="J21" s="215"/>
      <c r="K21" s="220"/>
      <c r="L21" s="220"/>
      <c r="M21" s="220"/>
      <c r="N21" s="195"/>
      <c r="O21" s="195"/>
      <c r="P21" s="195"/>
      <c r="Q21" s="195"/>
      <c r="R21" s="195"/>
      <c r="S21" s="195"/>
    </row>
    <row r="22" spans="1:19" ht="16.5" x14ac:dyDescent="0.3">
      <c r="A22" s="219"/>
      <c r="B22" s="219"/>
      <c r="C22" s="219"/>
      <c r="D22" s="220"/>
      <c r="E22" s="216"/>
      <c r="F22" s="215"/>
      <c r="G22" s="195"/>
      <c r="H22" s="215"/>
      <c r="I22" s="219"/>
      <c r="J22" s="216"/>
      <c r="K22" s="220"/>
      <c r="L22" s="220"/>
      <c r="M22" s="220"/>
      <c r="N22" s="195"/>
      <c r="O22" s="195"/>
      <c r="P22" s="195"/>
      <c r="Q22" s="195"/>
      <c r="R22" s="195"/>
      <c r="S22" s="195"/>
    </row>
    <row r="23" spans="1:19" ht="16.5" x14ac:dyDescent="0.3">
      <c r="A23" s="195"/>
      <c r="B23" s="195"/>
      <c r="C23" s="195"/>
      <c r="D23" s="195"/>
      <c r="E23" s="215"/>
      <c r="F23" s="215"/>
      <c r="G23" s="195"/>
      <c r="H23" s="215"/>
      <c r="I23" s="195"/>
      <c r="J23" s="195"/>
      <c r="K23" s="195"/>
      <c r="L23" s="195"/>
      <c r="M23" s="195"/>
      <c r="N23" s="195"/>
      <c r="O23" s="195"/>
      <c r="P23" s="195"/>
      <c r="Q23" s="195"/>
      <c r="R23" s="195"/>
      <c r="S23" s="195"/>
    </row>
    <row r="24" spans="1:19" ht="16.5" x14ac:dyDescent="0.3">
      <c r="A24" s="195"/>
      <c r="B24" s="195"/>
      <c r="C24" s="195"/>
      <c r="D24" s="195"/>
      <c r="E24" s="215"/>
      <c r="F24" s="215"/>
      <c r="G24" s="195"/>
      <c r="H24" s="215"/>
      <c r="I24" s="219"/>
      <c r="J24" s="216"/>
      <c r="K24" s="220"/>
      <c r="L24" s="220"/>
      <c r="M24" s="220"/>
      <c r="N24" s="195"/>
      <c r="O24" s="195"/>
      <c r="P24" s="195"/>
      <c r="Q24" s="195"/>
      <c r="R24" s="195"/>
      <c r="S24" s="195"/>
    </row>
    <row r="25" spans="1:19" ht="16.5" x14ac:dyDescent="0.3">
      <c r="A25" s="195"/>
      <c r="B25" s="195"/>
      <c r="C25" s="195"/>
      <c r="D25" s="195"/>
      <c r="E25" s="195"/>
      <c r="F25" s="215"/>
      <c r="G25" s="195"/>
      <c r="H25" s="215"/>
      <c r="I25" s="219"/>
      <c r="J25" s="216"/>
      <c r="K25" s="220"/>
      <c r="L25" s="220"/>
      <c r="M25" s="220"/>
      <c r="N25" s="195"/>
      <c r="O25" s="195"/>
      <c r="P25" s="195"/>
      <c r="Q25" s="195"/>
      <c r="R25" s="195"/>
      <c r="S25" s="195"/>
    </row>
    <row r="26" spans="1:19" ht="16.5" x14ac:dyDescent="0.3">
      <c r="A26" s="195"/>
      <c r="B26" s="195"/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</row>
    <row r="27" spans="1:19" ht="16.5" x14ac:dyDescent="0.3">
      <c r="A27" s="195"/>
      <c r="B27" s="195"/>
      <c r="C27" s="195"/>
      <c r="D27" s="195"/>
      <c r="E27" s="195"/>
      <c r="F27" s="195"/>
      <c r="G27" s="195"/>
      <c r="H27" s="195"/>
      <c r="I27" s="195"/>
      <c r="J27" s="195"/>
      <c r="K27" s="195"/>
      <c r="L27" s="195"/>
      <c r="M27" s="195"/>
      <c r="N27" s="195"/>
      <c r="O27" s="195"/>
      <c r="P27" s="195"/>
      <c r="Q27" s="195"/>
      <c r="R27" s="195"/>
      <c r="S27" s="195"/>
    </row>
    <row r="28" spans="1:19" ht="16.5" x14ac:dyDescent="0.3">
      <c r="A28" s="195"/>
      <c r="B28" s="195"/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195"/>
      <c r="Q28" s="195"/>
      <c r="R28" s="217"/>
      <c r="S28" s="195"/>
    </row>
    <row r="29" spans="1:19" ht="16.5" x14ac:dyDescent="0.3">
      <c r="A29" s="195"/>
      <c r="B29" s="195"/>
      <c r="C29" s="195"/>
      <c r="D29" s="195"/>
      <c r="E29" s="195"/>
      <c r="F29" s="195"/>
      <c r="G29" s="195"/>
      <c r="H29" s="195"/>
      <c r="I29" s="195"/>
      <c r="J29" s="195"/>
      <c r="K29" s="195"/>
      <c r="L29" s="195"/>
      <c r="M29" s="195"/>
      <c r="N29" s="195"/>
      <c r="O29" s="195"/>
      <c r="P29" s="195"/>
      <c r="Q29" s="195"/>
      <c r="R29" s="195"/>
      <c r="S29" s="195"/>
    </row>
    <row r="30" spans="1:19" ht="16.5" x14ac:dyDescent="0.3">
      <c r="A30" s="195"/>
      <c r="B30" s="195"/>
      <c r="C30" s="195"/>
      <c r="D30" s="195"/>
      <c r="E30" s="195"/>
      <c r="F30" s="195"/>
      <c r="G30" s="195"/>
      <c r="H30" s="195"/>
      <c r="I30" s="195"/>
      <c r="J30" s="195"/>
      <c r="K30" s="195"/>
      <c r="L30" s="195"/>
      <c r="M30" s="195"/>
      <c r="N30" s="195"/>
      <c r="O30" s="195"/>
      <c r="P30" s="195"/>
      <c r="Q30" s="195"/>
      <c r="R30" s="195"/>
      <c r="S30" s="195"/>
    </row>
    <row r="31" spans="1:19" ht="16.5" x14ac:dyDescent="0.3">
      <c r="A31" s="195"/>
      <c r="B31" s="195"/>
      <c r="C31" s="195"/>
      <c r="D31" s="195"/>
      <c r="E31" s="195"/>
      <c r="F31" s="195"/>
      <c r="G31" s="195"/>
      <c r="H31" s="195"/>
      <c r="I31" s="195"/>
      <c r="J31" s="195"/>
      <c r="K31" s="195"/>
      <c r="L31" s="195"/>
      <c r="M31" s="195"/>
      <c r="N31" s="195"/>
      <c r="O31" s="195"/>
      <c r="P31" s="195"/>
      <c r="Q31" s="195"/>
      <c r="R31" s="195"/>
      <c r="S31" s="195"/>
    </row>
    <row r="32" spans="1:19" ht="16.5" x14ac:dyDescent="0.3">
      <c r="A32" s="195"/>
      <c r="B32" s="195"/>
      <c r="C32" s="195"/>
      <c r="D32" s="195"/>
      <c r="E32" s="195"/>
      <c r="F32" s="195"/>
      <c r="G32" s="195"/>
      <c r="H32" s="195"/>
      <c r="I32" s="195"/>
      <c r="J32" s="195"/>
      <c r="K32" s="195"/>
      <c r="L32" s="195"/>
      <c r="M32" s="195"/>
      <c r="N32" s="195"/>
      <c r="O32" s="195"/>
      <c r="P32" s="195"/>
      <c r="Q32" s="195"/>
      <c r="R32" s="195"/>
      <c r="S32" s="195"/>
    </row>
    <row r="33" spans="1:19" ht="16.5" x14ac:dyDescent="0.3">
      <c r="A33" s="195"/>
      <c r="B33" s="195"/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/>
      <c r="P33" s="195"/>
      <c r="Q33" s="195"/>
      <c r="R33" s="195"/>
      <c r="S33" s="195"/>
    </row>
  </sheetData>
  <mergeCells count="17">
    <mergeCell ref="A9:C9"/>
    <mergeCell ref="D9:E9"/>
    <mergeCell ref="D5:E5"/>
    <mergeCell ref="F5:H5"/>
    <mergeCell ref="D8:E8"/>
    <mergeCell ref="A7:C7"/>
    <mergeCell ref="D7:E7"/>
    <mergeCell ref="B2:F2"/>
    <mergeCell ref="A4:C4"/>
    <mergeCell ref="A5:C5"/>
    <mergeCell ref="A8:C8"/>
    <mergeCell ref="K4:M4"/>
    <mergeCell ref="I4:J4"/>
    <mergeCell ref="F4:H4"/>
    <mergeCell ref="D4:E4"/>
    <mergeCell ref="I5:J5"/>
    <mergeCell ref="K5:M5"/>
  </mergeCells>
  <pageMargins left="0.7" right="0.7" top="0.75" bottom="0.75" header="0.3" footer="0.3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O94"/>
  <sheetViews>
    <sheetView tabSelected="1" topLeftCell="A13" zoomScale="85" zoomScaleNormal="85" workbookViewId="0">
      <selection activeCell="E71" sqref="E71:I71"/>
    </sheetView>
  </sheetViews>
  <sheetFormatPr defaultRowHeight="15" x14ac:dyDescent="0.25"/>
  <cols>
    <col min="1" max="1" width="37.140625" bestFit="1" customWidth="1"/>
    <col min="2" max="2" width="13.2851562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9" max="9" width="26" bestFit="1" customWidth="1"/>
    <col min="11" max="11" width="24.42578125" bestFit="1" customWidth="1"/>
    <col min="12" max="12" width="23.140625" bestFit="1" customWidth="1"/>
    <col min="13" max="13" width="30.42578125" bestFit="1" customWidth="1"/>
    <col min="14" max="14" width="31.7109375" bestFit="1" customWidth="1"/>
    <col min="15" max="15" width="23.7109375" bestFit="1" customWidth="1"/>
  </cols>
  <sheetData>
    <row r="1" spans="1:14" ht="17.25" x14ac:dyDescent="0.3">
      <c r="A1" s="336"/>
      <c r="B1" s="336"/>
      <c r="C1" s="336"/>
      <c r="D1" s="336"/>
      <c r="E1" s="336"/>
      <c r="F1" s="336"/>
      <c r="G1" s="336"/>
      <c r="H1" s="336"/>
      <c r="I1" s="336"/>
      <c r="J1" s="105"/>
      <c r="K1" s="105"/>
      <c r="L1" s="1"/>
      <c r="M1" s="1"/>
      <c r="N1" s="1"/>
    </row>
    <row r="2" spans="1:14" ht="17.25" x14ac:dyDescent="0.3">
      <c r="A2" s="336"/>
      <c r="B2" s="336"/>
      <c r="C2" s="336"/>
      <c r="D2" s="336"/>
      <c r="E2" s="336"/>
      <c r="F2" s="336"/>
      <c r="G2" s="336"/>
      <c r="H2" s="336"/>
      <c r="I2" s="336"/>
      <c r="J2" s="1"/>
      <c r="K2" s="1"/>
      <c r="L2" s="1"/>
      <c r="M2" s="1"/>
      <c r="N2" s="1"/>
    </row>
    <row r="3" spans="1:14" ht="17.25" x14ac:dyDescent="0.3">
      <c r="A3" s="336"/>
      <c r="B3" s="336"/>
      <c r="C3" s="336"/>
      <c r="D3" s="336"/>
      <c r="E3" s="336"/>
      <c r="F3" s="336"/>
      <c r="G3" s="336"/>
      <c r="H3" s="336"/>
      <c r="I3" s="336"/>
      <c r="J3" s="1"/>
      <c r="K3" s="1"/>
      <c r="L3" s="1"/>
      <c r="M3" s="1"/>
      <c r="N3" s="1"/>
    </row>
    <row r="4" spans="1:14" ht="17.25" x14ac:dyDescent="0.3">
      <c r="A4" s="336"/>
      <c r="B4" s="336"/>
      <c r="C4" s="336"/>
      <c r="D4" s="336"/>
      <c r="E4" s="336"/>
      <c r="F4" s="336"/>
      <c r="G4" s="336"/>
      <c r="H4" s="336"/>
      <c r="I4" s="336"/>
      <c r="J4" s="2"/>
      <c r="K4" s="2"/>
      <c r="L4" s="1"/>
      <c r="M4" s="1"/>
      <c r="N4" s="1"/>
    </row>
    <row r="5" spans="1:14" ht="17.25" x14ac:dyDescent="0.3">
      <c r="A5" s="336"/>
      <c r="B5" s="336"/>
      <c r="C5" s="336"/>
      <c r="D5" s="336"/>
      <c r="E5" s="336"/>
      <c r="F5" s="336"/>
      <c r="G5" s="336"/>
      <c r="H5" s="336"/>
      <c r="I5" s="336"/>
      <c r="J5" s="2"/>
      <c r="K5" s="2"/>
      <c r="L5" s="1"/>
      <c r="M5" s="1"/>
      <c r="N5" s="1"/>
    </row>
    <row r="6" spans="1:14" ht="17.25" x14ac:dyDescent="0.3">
      <c r="A6" s="336"/>
      <c r="B6" s="336"/>
      <c r="C6" s="336"/>
      <c r="D6" s="336"/>
      <c r="E6" s="336"/>
      <c r="F6" s="336"/>
      <c r="G6" s="336"/>
      <c r="H6" s="336"/>
      <c r="I6" s="336"/>
      <c r="J6" s="2"/>
      <c r="K6" s="2"/>
      <c r="L6" s="1"/>
      <c r="M6" s="1"/>
      <c r="N6" s="1"/>
    </row>
    <row r="7" spans="1:14" ht="17.25" x14ac:dyDescent="0.3">
      <c r="A7" s="336"/>
      <c r="B7" s="336"/>
      <c r="C7" s="336"/>
      <c r="D7" s="336"/>
      <c r="E7" s="336"/>
      <c r="F7" s="336"/>
      <c r="G7" s="336"/>
      <c r="H7" s="336"/>
      <c r="I7" s="336"/>
      <c r="J7" s="2"/>
      <c r="K7" s="2"/>
      <c r="L7" s="1"/>
      <c r="M7" s="1"/>
      <c r="N7" s="1"/>
    </row>
    <row r="8" spans="1:14" ht="17.25" x14ac:dyDescent="0.3">
      <c r="A8" s="336"/>
      <c r="B8" s="336"/>
      <c r="C8" s="336"/>
      <c r="D8" s="336"/>
      <c r="E8" s="336"/>
      <c r="F8" s="336"/>
      <c r="G8" s="336"/>
      <c r="H8" s="336"/>
      <c r="I8" s="336"/>
      <c r="J8" s="1"/>
      <c r="K8" s="1"/>
      <c r="L8" s="1"/>
      <c r="M8" s="1"/>
      <c r="N8" s="1"/>
    </row>
    <row r="9" spans="1:14" ht="17.25" x14ac:dyDescent="0.3">
      <c r="A9" s="336"/>
      <c r="B9" s="336"/>
      <c r="C9" s="336"/>
      <c r="D9" s="336"/>
      <c r="E9" s="336"/>
      <c r="F9" s="336"/>
      <c r="G9" s="336"/>
      <c r="H9" s="336"/>
      <c r="I9" s="336"/>
      <c r="J9" s="2"/>
      <c r="K9" s="2"/>
      <c r="L9" s="1"/>
      <c r="M9" s="1"/>
      <c r="N9" s="1"/>
    </row>
    <row r="10" spans="1:14" ht="17.25" x14ac:dyDescent="0.3">
      <c r="A10" s="336"/>
      <c r="B10" s="336"/>
      <c r="C10" s="336"/>
      <c r="D10" s="336"/>
      <c r="E10" s="336"/>
      <c r="F10" s="336"/>
      <c r="G10" s="336"/>
      <c r="H10" s="336"/>
      <c r="I10" s="336"/>
      <c r="J10" s="2"/>
      <c r="K10" s="2"/>
      <c r="L10" s="1"/>
      <c r="M10" s="1"/>
      <c r="N10" s="1"/>
    </row>
    <row r="11" spans="1:14" ht="17.25" x14ac:dyDescent="0.3">
      <c r="A11" s="336"/>
      <c r="B11" s="336"/>
      <c r="C11" s="336"/>
      <c r="D11" s="336"/>
      <c r="E11" s="336"/>
      <c r="F11" s="336"/>
      <c r="G11" s="336"/>
      <c r="H11" s="336"/>
      <c r="I11" s="336"/>
      <c r="J11" s="2"/>
      <c r="K11" s="2"/>
      <c r="L11" s="1"/>
      <c r="M11" s="1"/>
      <c r="N11" s="1"/>
    </row>
    <row r="12" spans="1:14" ht="17.25" x14ac:dyDescent="0.3">
      <c r="A12" s="336"/>
      <c r="B12" s="336"/>
      <c r="C12" s="336"/>
      <c r="D12" s="336"/>
      <c r="E12" s="336"/>
      <c r="F12" s="336"/>
      <c r="G12" s="336"/>
      <c r="H12" s="336"/>
      <c r="I12" s="336"/>
      <c r="J12" s="2"/>
      <c r="K12" s="2"/>
      <c r="L12" s="1"/>
      <c r="M12" s="1"/>
      <c r="N12" s="1"/>
    </row>
    <row r="13" spans="1:14" ht="17.25" x14ac:dyDescent="0.3">
      <c r="A13" s="336"/>
      <c r="B13" s="336"/>
      <c r="C13" s="336"/>
      <c r="D13" s="336"/>
      <c r="E13" s="336"/>
      <c r="F13" s="336"/>
      <c r="G13" s="336"/>
      <c r="H13" s="336"/>
      <c r="I13" s="336"/>
      <c r="J13" s="1"/>
      <c r="K13" s="1"/>
      <c r="L13" s="1"/>
      <c r="M13" s="1"/>
      <c r="N13" s="1"/>
    </row>
    <row r="14" spans="1:14" ht="17.25" x14ac:dyDescent="0.3">
      <c r="A14" s="336"/>
      <c r="B14" s="336"/>
      <c r="C14" s="336"/>
      <c r="D14" s="336"/>
      <c r="E14" s="336"/>
      <c r="F14" s="336"/>
      <c r="G14" s="336"/>
      <c r="H14" s="336"/>
      <c r="I14" s="336"/>
      <c r="J14" s="1"/>
      <c r="K14" s="1"/>
      <c r="L14" s="1"/>
      <c r="M14" s="1"/>
      <c r="N14" s="1"/>
    </row>
    <row r="15" spans="1:14" ht="17.25" x14ac:dyDescent="0.3">
      <c r="A15" s="336"/>
      <c r="B15" s="336"/>
      <c r="C15" s="336"/>
      <c r="D15" s="336"/>
      <c r="E15" s="336"/>
      <c r="F15" s="336"/>
      <c r="G15" s="336"/>
      <c r="H15" s="336"/>
      <c r="I15" s="336"/>
      <c r="J15" s="1"/>
      <c r="L15" s="3"/>
      <c r="M15" s="1"/>
      <c r="N15" s="1"/>
    </row>
    <row r="16" spans="1:14" ht="18" thickBot="1" x14ac:dyDescent="0.35">
      <c r="A16" s="336"/>
      <c r="B16" s="336"/>
      <c r="C16" s="336"/>
      <c r="D16" s="336"/>
      <c r="E16" s="336"/>
      <c r="F16" s="336"/>
      <c r="G16" s="336"/>
      <c r="H16" s="336"/>
      <c r="I16" s="336"/>
      <c r="J16" s="2"/>
      <c r="K16" s="2"/>
      <c r="L16" s="3"/>
      <c r="M16" s="1"/>
      <c r="N16" s="1"/>
    </row>
    <row r="17" spans="1:15" ht="21" thickBot="1" x14ac:dyDescent="0.35">
      <c r="A17" s="337" t="s">
        <v>15</v>
      </c>
      <c r="B17" s="338"/>
      <c r="C17" s="338"/>
      <c r="D17" s="338"/>
      <c r="E17" s="338"/>
      <c r="F17" s="338"/>
      <c r="G17" s="338"/>
      <c r="H17" s="338"/>
      <c r="I17" s="339"/>
      <c r="J17" s="1"/>
      <c r="K17" s="1"/>
      <c r="L17" s="3"/>
      <c r="M17" s="1"/>
      <c r="N17" s="1"/>
    </row>
    <row r="18" spans="1:15" ht="18" thickBot="1" x14ac:dyDescent="0.35">
      <c r="A18" s="105"/>
      <c r="B18" s="105"/>
      <c r="C18" s="105"/>
      <c r="D18" s="105"/>
      <c r="E18" s="105"/>
      <c r="F18" s="105"/>
      <c r="G18" s="105"/>
      <c r="H18" s="105"/>
      <c r="I18" s="105"/>
      <c r="L18" s="1"/>
      <c r="M18" s="1"/>
      <c r="N18" s="1"/>
    </row>
    <row r="19" spans="1:15" ht="18.75" x14ac:dyDescent="0.3">
      <c r="A19" s="319" t="s">
        <v>82</v>
      </c>
      <c r="B19" s="320"/>
      <c r="C19" s="321"/>
      <c r="D19" s="1"/>
      <c r="E19" s="3" t="s">
        <v>86</v>
      </c>
      <c r="F19" s="1"/>
      <c r="G19" s="1"/>
      <c r="H19" s="1"/>
      <c r="I19" s="1"/>
      <c r="L19" s="1"/>
      <c r="M19" s="1"/>
      <c r="N19" s="1"/>
    </row>
    <row r="20" spans="1:15" ht="18" thickBot="1" x14ac:dyDescent="0.35">
      <c r="A20" s="322" t="s">
        <v>77</v>
      </c>
      <c r="B20" s="318"/>
      <c r="C20" s="318"/>
      <c r="D20" s="68" t="s">
        <v>79</v>
      </c>
      <c r="E20" s="68" t="s">
        <v>80</v>
      </c>
      <c r="F20" s="68" t="s">
        <v>78</v>
      </c>
      <c r="G20" s="111" t="s">
        <v>24</v>
      </c>
      <c r="H20" s="318" t="s">
        <v>5</v>
      </c>
      <c r="I20" s="318"/>
      <c r="J20" s="1"/>
      <c r="K20" s="1"/>
      <c r="L20" s="1"/>
      <c r="N20" s="3"/>
    </row>
    <row r="21" spans="1:15" ht="18" thickBot="1" x14ac:dyDescent="0.35">
      <c r="A21" s="323" t="s">
        <v>130</v>
      </c>
      <c r="B21" s="324"/>
      <c r="C21" s="114"/>
      <c r="D21" s="114"/>
      <c r="E21" s="120"/>
      <c r="F21" s="121">
        <f>SUM(F22:F25)</f>
        <v>38</v>
      </c>
      <c r="G21" s="157">
        <f>SUM(G22:G25)</f>
        <v>4.75</v>
      </c>
      <c r="H21" s="325">
        <f>SUM(H22:I25)</f>
        <v>15010</v>
      </c>
      <c r="I21" s="326"/>
      <c r="J21" s="1"/>
      <c r="K21" s="283" t="s">
        <v>103</v>
      </c>
      <c r="L21" s="284"/>
      <c r="M21" s="285"/>
      <c r="N21" s="181">
        <f>G27+G21</f>
        <v>20.25</v>
      </c>
    </row>
    <row r="22" spans="1:15" ht="18" thickBot="1" x14ac:dyDescent="0.35">
      <c r="A22" s="136" t="s">
        <v>120</v>
      </c>
      <c r="B22" s="135"/>
      <c r="C22" s="43" t="s">
        <v>23</v>
      </c>
      <c r="D22" s="160" t="s">
        <v>166</v>
      </c>
      <c r="E22" s="92">
        <f>IF(D22="Dewald", Employees!$J$20,IF(D22="Hannes",Employees!$J$19,IF(D22="Johan",Employees!$J$21,"")))</f>
        <v>395</v>
      </c>
      <c r="F22" s="146">
        <v>6</v>
      </c>
      <c r="G22" s="158">
        <f>F22/8</f>
        <v>0.75</v>
      </c>
      <c r="H22" s="327">
        <f>F22*E22</f>
        <v>2370</v>
      </c>
      <c r="I22" s="328"/>
      <c r="J22" s="1"/>
      <c r="N22" s="3"/>
    </row>
    <row r="23" spans="1:15" ht="18" thickBot="1" x14ac:dyDescent="0.35">
      <c r="A23" s="330" t="s">
        <v>121</v>
      </c>
      <c r="B23" s="330"/>
      <c r="C23" s="224" t="s">
        <v>23</v>
      </c>
      <c r="D23" s="92" t="s">
        <v>166</v>
      </c>
      <c r="E23" s="92">
        <f>IF(D23="Dewald", Employees!$J$20,IF(D23="Hannes",Employees!$J$19,IF(D23="Johan",Employees!$J$21,"")))</f>
        <v>395</v>
      </c>
      <c r="F23" s="161">
        <v>16</v>
      </c>
      <c r="G23" s="113">
        <f>F23/8</f>
        <v>2</v>
      </c>
      <c r="H23" s="327">
        <f>F23*E23</f>
        <v>6320</v>
      </c>
      <c r="I23" s="328"/>
      <c r="J23" s="1"/>
      <c r="K23" s="286" t="s">
        <v>123</v>
      </c>
      <c r="L23" s="287"/>
      <c r="M23" s="288"/>
      <c r="N23" s="182">
        <f>H35/N21</f>
        <v>3866.6666666666665</v>
      </c>
    </row>
    <row r="24" spans="1:15" ht="17.25" x14ac:dyDescent="0.3">
      <c r="A24" s="272" t="s">
        <v>122</v>
      </c>
      <c r="B24" s="272"/>
      <c r="C24" s="223" t="s">
        <v>23</v>
      </c>
      <c r="D24" s="92" t="s">
        <v>166</v>
      </c>
      <c r="E24" s="92">
        <f>IF(D24="Dewald", Employees!$J$20,IF(D24="Hannes",Employees!$J$19,IF(D24="Johan",Employees!$J$21,"")))</f>
        <v>395</v>
      </c>
      <c r="F24" s="147">
        <v>16</v>
      </c>
      <c r="G24" s="113">
        <f>F24/8</f>
        <v>2</v>
      </c>
      <c r="H24" s="331">
        <f>F24*E24</f>
        <v>6320</v>
      </c>
      <c r="I24" s="332"/>
      <c r="J24" s="1"/>
      <c r="N24" s="168"/>
    </row>
    <row r="25" spans="1:15" ht="18" thickBot="1" x14ac:dyDescent="0.35">
      <c r="A25" s="4" t="s">
        <v>124</v>
      </c>
      <c r="B25" s="4"/>
      <c r="C25" s="1" t="s">
        <v>125</v>
      </c>
      <c r="D25" s="92" t="s">
        <v>119</v>
      </c>
      <c r="E25" s="92">
        <f>IF(D25="Dewald", Employees!$J$20,IF(D25="Hannes",Employees!$J$19,IF(D25="Johan",Employees!$J$21,"")))</f>
        <v>625</v>
      </c>
      <c r="F25" s="147">
        <v>0</v>
      </c>
      <c r="G25" s="113">
        <f>F25/8</f>
        <v>0</v>
      </c>
      <c r="H25" s="331">
        <f>F25*E25</f>
        <v>0</v>
      </c>
      <c r="I25" s="332"/>
      <c r="J25" s="1"/>
    </row>
    <row r="26" spans="1:15" ht="18" thickBot="1" x14ac:dyDescent="0.35">
      <c r="A26" s="4"/>
      <c r="B26" s="4"/>
      <c r="C26" s="1"/>
      <c r="D26" s="1"/>
      <c r="E26" s="1"/>
      <c r="F26" s="1"/>
      <c r="G26" s="1"/>
      <c r="H26" s="1"/>
      <c r="I26" s="1"/>
      <c r="J26" s="1"/>
      <c r="K26" s="176" t="s">
        <v>149</v>
      </c>
      <c r="L26" s="178" t="s">
        <v>139</v>
      </c>
      <c r="M26" s="179" t="s">
        <v>134</v>
      </c>
      <c r="N26" s="180" t="s">
        <v>137</v>
      </c>
      <c r="O26" s="177" t="s">
        <v>135</v>
      </c>
    </row>
    <row r="27" spans="1:15" ht="18" thickBot="1" x14ac:dyDescent="0.35">
      <c r="A27" s="333" t="s">
        <v>129</v>
      </c>
      <c r="B27" s="334"/>
      <c r="C27" s="110"/>
      <c r="D27" s="110"/>
      <c r="E27" s="110"/>
      <c r="F27" s="123">
        <f>SUM(F28:F31)</f>
        <v>124</v>
      </c>
      <c r="G27" s="123">
        <f>SUM(G28:G31)</f>
        <v>15.5</v>
      </c>
      <c r="H27" s="325">
        <f>SUM(H28:I30)</f>
        <v>63290</v>
      </c>
      <c r="I27" s="254"/>
      <c r="J27" s="1"/>
      <c r="K27" s="183">
        <f>H35</f>
        <v>78300</v>
      </c>
      <c r="L27" s="90">
        <f>K27*0.05</f>
        <v>3915</v>
      </c>
      <c r="M27" s="90">
        <f>K27-L27</f>
        <v>74385</v>
      </c>
      <c r="N27" s="183">
        <f>M27-O27</f>
        <v>43391.25</v>
      </c>
      <c r="O27" s="185">
        <f>M27/2.4</f>
        <v>30993.75</v>
      </c>
    </row>
    <row r="28" spans="1:15" ht="18" thickBot="1" x14ac:dyDescent="0.35">
      <c r="A28" s="335" t="s">
        <v>133</v>
      </c>
      <c r="B28" s="335"/>
      <c r="C28" s="163"/>
      <c r="D28" s="92" t="s">
        <v>154</v>
      </c>
      <c r="E28" s="92">
        <f>IF(D28="Dewald", Employees!$J$20,IF(D28="Hannes",Employees!$J$19,IF(D28="Johan",Employees!$J$21,"")))</f>
        <v>672</v>
      </c>
      <c r="F28" s="23">
        <v>50</v>
      </c>
      <c r="G28" s="113">
        <f>F28/8</f>
        <v>6.25</v>
      </c>
      <c r="H28" s="301">
        <f>F28*E28</f>
        <v>33600</v>
      </c>
      <c r="I28" s="302"/>
      <c r="J28" s="1"/>
      <c r="N28" s="168"/>
    </row>
    <row r="29" spans="1:15" ht="18" thickBot="1" x14ac:dyDescent="0.35">
      <c r="A29" s="335" t="s">
        <v>89</v>
      </c>
      <c r="B29" s="335"/>
      <c r="C29" s="23"/>
      <c r="D29" s="92" t="s">
        <v>166</v>
      </c>
      <c r="E29" s="92">
        <f>IF(D29="Dewald", Employees!$J$20,IF(D29="Hannes",Employees!$J$19,IF(D29="Johan",Employees!$J$21,"")))</f>
        <v>395</v>
      </c>
      <c r="F29" s="23">
        <v>72</v>
      </c>
      <c r="G29" s="113">
        <f>F29/8</f>
        <v>9</v>
      </c>
      <c r="H29" s="301">
        <f>F29*E29</f>
        <v>28440</v>
      </c>
      <c r="I29" s="302"/>
      <c r="J29" s="1"/>
      <c r="K29" s="175" t="s">
        <v>136</v>
      </c>
      <c r="L29" s="166"/>
      <c r="M29" s="166"/>
      <c r="N29" s="184">
        <f>N27*0.15</f>
        <v>6508.6875</v>
      </c>
    </row>
    <row r="30" spans="1:15" ht="18" thickBot="1" x14ac:dyDescent="0.35">
      <c r="A30" s="272" t="s">
        <v>132</v>
      </c>
      <c r="B30" s="272"/>
      <c r="C30" s="49"/>
      <c r="D30" s="92" t="s">
        <v>119</v>
      </c>
      <c r="E30" s="92">
        <f>IF(D30="Dewald", Employees!$J$20,IF(D30="Hannes",Employees!$J$19,IF(D30="Johan",Employees!$J$21,"")))</f>
        <v>625</v>
      </c>
      <c r="F30" s="23">
        <v>2</v>
      </c>
      <c r="G30" s="113">
        <f>F30/8</f>
        <v>0.25</v>
      </c>
      <c r="H30" s="301">
        <f>F30*E30</f>
        <v>1250</v>
      </c>
      <c r="I30" s="302"/>
      <c r="J30" s="1"/>
      <c r="L30" s="145"/>
      <c r="M30" s="164"/>
      <c r="N30" s="168"/>
    </row>
    <row r="31" spans="1:15" ht="18" thickBot="1" x14ac:dyDescent="0.35">
      <c r="A31" s="128"/>
      <c r="B31" s="128"/>
      <c r="C31" s="49"/>
      <c r="D31" s="49"/>
      <c r="E31" s="159"/>
      <c r="F31" s="49"/>
      <c r="G31" s="109"/>
      <c r="H31" s="329"/>
      <c r="I31" s="329"/>
      <c r="J31" s="1"/>
      <c r="K31" s="174" t="s">
        <v>138</v>
      </c>
      <c r="L31" s="166"/>
      <c r="M31" s="166"/>
      <c r="N31" s="184">
        <f>N27-N29</f>
        <v>36882.5625</v>
      </c>
    </row>
    <row r="32" spans="1:15" ht="17.2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64"/>
      <c r="N32" s="168"/>
    </row>
    <row r="33" spans="1:14" ht="18" x14ac:dyDescent="0.3">
      <c r="A33" s="116"/>
      <c r="B33" s="116"/>
      <c r="D33" s="162"/>
      <c r="E33" s="162" t="s">
        <v>127</v>
      </c>
      <c r="F33" s="297" t="str">
        <f xml:space="preserve"> IF(H27=0,"Phase 1", "Phase 1 - 2")</f>
        <v>Phase 1 - 2</v>
      </c>
      <c r="G33" s="297"/>
      <c r="H33" s="244">
        <f>H27+H21</f>
        <v>78300</v>
      </c>
      <c r="I33" s="233"/>
      <c r="J33" s="1"/>
      <c r="K33" s="1"/>
      <c r="L33" s="1"/>
      <c r="M33" s="1"/>
      <c r="N33" s="90"/>
    </row>
    <row r="34" spans="1:14" ht="18.75" thickBot="1" x14ac:dyDescent="0.35">
      <c r="A34" s="116"/>
      <c r="B34" s="116"/>
      <c r="C34" s="116"/>
      <c r="E34" s="162" t="s">
        <v>126</v>
      </c>
      <c r="F34" s="298">
        <v>0</v>
      </c>
      <c r="G34" s="298"/>
      <c r="H34" s="244">
        <f>H33*F34</f>
        <v>0</v>
      </c>
      <c r="I34" s="233"/>
      <c r="J34" s="1"/>
    </row>
    <row r="35" spans="1:14" ht="19.5" thickBot="1" x14ac:dyDescent="0.35">
      <c r="A35" s="1"/>
      <c r="B35" s="1"/>
      <c r="C35" s="1"/>
      <c r="D35" s="1"/>
      <c r="F35" s="299" t="s">
        <v>93</v>
      </c>
      <c r="G35" s="300"/>
      <c r="H35" s="295">
        <f>H33-H34</f>
        <v>78300</v>
      </c>
      <c r="I35" s="296"/>
      <c r="J35" s="1"/>
    </row>
    <row r="36" spans="1:14" ht="17.25" x14ac:dyDescent="0.3">
      <c r="A36" s="1"/>
      <c r="B36" s="1"/>
      <c r="C36" s="1"/>
      <c r="D36" s="1"/>
      <c r="E36" s="1"/>
      <c r="F36" s="1"/>
      <c r="G36" s="1"/>
      <c r="H36" s="1"/>
      <c r="I36" s="1"/>
      <c r="N36" s="1"/>
    </row>
    <row r="37" spans="1:14" ht="17.25" x14ac:dyDescent="0.3">
      <c r="A37" s="126"/>
      <c r="B37" s="126"/>
      <c r="C37" s="126"/>
      <c r="D37" s="126"/>
      <c r="E37" s="126"/>
      <c r="F37" s="126"/>
      <c r="G37" s="126"/>
      <c r="H37" s="126"/>
      <c r="I37" s="126"/>
      <c r="N37" s="1"/>
    </row>
    <row r="38" spans="1:14" ht="17.25" x14ac:dyDescent="0.3">
      <c r="A38" s="1"/>
      <c r="B38" s="1"/>
      <c r="C38" s="1"/>
      <c r="D38" s="1"/>
      <c r="E38" s="1"/>
      <c r="F38" s="1"/>
      <c r="G38" s="1"/>
      <c r="H38" s="1"/>
      <c r="I38" s="1"/>
      <c r="N38" s="1"/>
    </row>
    <row r="39" spans="1:14" ht="18" thickBot="1" x14ac:dyDescent="0.35">
      <c r="A39" s="1"/>
      <c r="B39" s="1"/>
      <c r="C39" s="1"/>
      <c r="D39" s="1"/>
      <c r="E39" s="1"/>
      <c r="F39" s="1"/>
      <c r="G39" s="1"/>
      <c r="H39" s="1"/>
      <c r="I39" s="1"/>
      <c r="N39" s="1"/>
    </row>
    <row r="40" spans="1:14" ht="18.75" x14ac:dyDescent="0.3">
      <c r="A40" s="319" t="s">
        <v>95</v>
      </c>
      <c r="B40" s="320"/>
      <c r="C40" s="321"/>
      <c r="D40" s="1"/>
      <c r="E40" s="3" t="s">
        <v>86</v>
      </c>
      <c r="F40" s="1"/>
      <c r="G40" s="1"/>
      <c r="H40" s="1"/>
      <c r="I40" s="1"/>
      <c r="M40" s="1"/>
      <c r="N40" s="1"/>
    </row>
    <row r="41" spans="1:14" ht="18" thickBot="1" x14ac:dyDescent="0.35">
      <c r="A41" s="322" t="s">
        <v>77</v>
      </c>
      <c r="B41" s="318"/>
      <c r="C41" s="318"/>
      <c r="D41" s="68" t="s">
        <v>79</v>
      </c>
      <c r="E41" s="68" t="s">
        <v>94</v>
      </c>
      <c r="F41" s="68" t="s">
        <v>96</v>
      </c>
      <c r="G41" s="111"/>
      <c r="H41" s="318" t="s">
        <v>5</v>
      </c>
      <c r="I41" s="318"/>
      <c r="M41" s="6"/>
      <c r="N41" s="164"/>
    </row>
    <row r="42" spans="1:14" ht="18" thickBot="1" x14ac:dyDescent="0.35">
      <c r="A42" s="323" t="s">
        <v>131</v>
      </c>
      <c r="B42" s="324"/>
      <c r="C42" s="114"/>
      <c r="D42" s="114"/>
      <c r="E42" s="120"/>
      <c r="F42" s="121" t="s">
        <v>115</v>
      </c>
      <c r="G42" s="122" t="s">
        <v>101</v>
      </c>
      <c r="H42" s="325">
        <f>SUM(H43:I45)</f>
        <v>39175</v>
      </c>
      <c r="I42" s="326"/>
    </row>
    <row r="43" spans="1:14" ht="17.25" x14ac:dyDescent="0.3">
      <c r="A43" s="344" t="s">
        <v>128</v>
      </c>
      <c r="B43" s="344"/>
      <c r="C43" s="6"/>
      <c r="D43" s="6" t="s">
        <v>166</v>
      </c>
      <c r="E43" s="6">
        <v>45</v>
      </c>
      <c r="F43" s="1">
        <v>365</v>
      </c>
      <c r="G43" s="107"/>
      <c r="H43" s="246">
        <f t="shared" ref="H43" si="0">F43*E43</f>
        <v>16425</v>
      </c>
      <c r="I43" s="246"/>
      <c r="K43" s="6"/>
      <c r="L43" s="6"/>
      <c r="N43" s="1"/>
    </row>
    <row r="44" spans="1:14" ht="17.25" x14ac:dyDescent="0.3">
      <c r="A44" s="145" t="s">
        <v>168</v>
      </c>
      <c r="B44" s="145"/>
      <c r="C44" s="6"/>
      <c r="D44" s="6" t="s">
        <v>167</v>
      </c>
      <c r="E44" s="6">
        <v>150</v>
      </c>
      <c r="F44" s="1">
        <v>30</v>
      </c>
      <c r="G44" s="107"/>
      <c r="H44" s="246">
        <f t="shared" ref="H44" si="1">F44*E44</f>
        <v>4500</v>
      </c>
      <c r="I44" s="246"/>
      <c r="M44" s="1"/>
      <c r="N44" s="1"/>
    </row>
    <row r="45" spans="1:14" ht="17.25" x14ac:dyDescent="0.3">
      <c r="A45" s="145" t="s">
        <v>170</v>
      </c>
      <c r="B45" s="145"/>
      <c r="C45" s="6"/>
      <c r="D45" s="6" t="s">
        <v>167</v>
      </c>
      <c r="E45" s="6">
        <v>50</v>
      </c>
      <c r="F45" s="1">
        <v>365</v>
      </c>
      <c r="G45" s="107"/>
      <c r="H45" s="246">
        <f>F45*E45</f>
        <v>18250</v>
      </c>
      <c r="I45" s="246"/>
      <c r="L45" s="6"/>
      <c r="M45" s="165"/>
      <c r="N45" s="1"/>
    </row>
    <row r="46" spans="1:14" ht="17.25" x14ac:dyDescent="0.3">
      <c r="A46" s="145"/>
      <c r="B46" s="145"/>
      <c r="C46" s="6"/>
      <c r="D46" s="6"/>
      <c r="E46" s="6"/>
      <c r="F46" s="1"/>
      <c r="G46" s="107"/>
      <c r="H46" s="246"/>
      <c r="I46" s="246"/>
      <c r="L46" s="6"/>
      <c r="M46" s="165"/>
      <c r="N46" s="1"/>
    </row>
    <row r="47" spans="1:14" ht="17.25" x14ac:dyDescent="0.3">
      <c r="A47" s="4"/>
      <c r="B47" s="4"/>
      <c r="C47" s="1"/>
      <c r="D47" s="1"/>
      <c r="E47" s="1" t="s">
        <v>4</v>
      </c>
      <c r="F47" s="1"/>
      <c r="G47" s="1" t="s">
        <v>40</v>
      </c>
      <c r="H47" s="246"/>
      <c r="I47" s="240"/>
      <c r="L47" s="164"/>
      <c r="M47" s="1"/>
      <c r="N47" s="1"/>
    </row>
    <row r="48" spans="1:14" ht="18" thickBot="1" x14ac:dyDescent="0.35">
      <c r="A48" s="4"/>
      <c r="B48" s="4"/>
      <c r="C48" s="1"/>
      <c r="D48" s="1"/>
      <c r="E48" s="1"/>
      <c r="F48" s="1"/>
      <c r="G48" s="1"/>
      <c r="H48" s="1"/>
      <c r="I48" s="1"/>
      <c r="L48" s="164"/>
      <c r="M48" s="1"/>
      <c r="N48" s="1"/>
    </row>
    <row r="49" spans="1:14" ht="18" thickBot="1" x14ac:dyDescent="0.35">
      <c r="A49" s="333" t="s">
        <v>129</v>
      </c>
      <c r="B49" s="334"/>
      <c r="C49" s="110"/>
      <c r="D49" s="110"/>
      <c r="E49" s="110"/>
      <c r="F49" s="123"/>
      <c r="G49" s="123"/>
      <c r="H49" s="325">
        <f>SUM(H50:I51)</f>
        <v>39302.5</v>
      </c>
      <c r="I49" s="254"/>
      <c r="L49" s="1"/>
      <c r="M49" s="1"/>
      <c r="N49" s="1"/>
    </row>
    <row r="50" spans="1:14" ht="17.25" x14ac:dyDescent="0.3">
      <c r="A50" s="341"/>
      <c r="B50" s="341"/>
      <c r="C50" s="13"/>
      <c r="D50" s="13" t="s">
        <v>166</v>
      </c>
      <c r="E50" s="43">
        <v>80</v>
      </c>
      <c r="F50" s="13"/>
      <c r="G50" s="115"/>
      <c r="H50" s="342">
        <f>F50*E50</f>
        <v>0</v>
      </c>
      <c r="I50" s="343"/>
      <c r="L50" s="1"/>
      <c r="M50" s="1"/>
      <c r="N50" s="1"/>
    </row>
    <row r="51" spans="1:14" ht="17.25" x14ac:dyDescent="0.3">
      <c r="A51" s="272" t="s">
        <v>89</v>
      </c>
      <c r="B51" s="272"/>
      <c r="C51" s="49"/>
      <c r="D51" s="49" t="s">
        <v>166</v>
      </c>
      <c r="E51" s="51">
        <v>99.5</v>
      </c>
      <c r="F51" s="49">
        <v>395</v>
      </c>
      <c r="G51" s="109"/>
      <c r="H51" s="273">
        <f>F51*E51</f>
        <v>39302.5</v>
      </c>
      <c r="I51" s="274"/>
      <c r="L51" s="1"/>
      <c r="M51" s="1"/>
      <c r="N51" s="1"/>
    </row>
    <row r="52" spans="1:14" ht="17.25" x14ac:dyDescent="0.3">
      <c r="A52" s="272" t="s">
        <v>132</v>
      </c>
      <c r="B52" s="272"/>
      <c r="C52" s="49"/>
      <c r="D52" s="49" t="s">
        <v>166</v>
      </c>
      <c r="E52" s="51">
        <v>8</v>
      </c>
      <c r="F52" s="49">
        <v>150</v>
      </c>
      <c r="G52" s="109"/>
      <c r="H52" s="273">
        <f>F52*E52</f>
        <v>1200</v>
      </c>
      <c r="I52" s="274"/>
      <c r="L52" s="1"/>
      <c r="M52" s="1"/>
      <c r="N52" s="1"/>
    </row>
    <row r="53" spans="1:14" ht="17.25" x14ac:dyDescent="0.3">
      <c r="A53" s="1"/>
      <c r="B53" s="1"/>
      <c r="C53" s="1"/>
      <c r="D53" s="1"/>
      <c r="E53" s="1"/>
      <c r="F53" s="1"/>
      <c r="G53" s="1"/>
      <c r="H53" s="340"/>
      <c r="I53" s="340"/>
      <c r="L53" s="1"/>
      <c r="M53" s="1"/>
      <c r="N53" s="1"/>
    </row>
    <row r="54" spans="1:14" ht="18" x14ac:dyDescent="0.3">
      <c r="A54" s="116"/>
      <c r="B54" s="116"/>
      <c r="C54" s="116"/>
      <c r="D54" s="297" t="s">
        <v>169</v>
      </c>
      <c r="E54" s="297"/>
      <c r="F54" s="297"/>
      <c r="G54" s="116"/>
      <c r="H54" s="244">
        <f>H49+H42</f>
        <v>78477.5</v>
      </c>
      <c r="I54" s="233"/>
      <c r="L54" s="1"/>
      <c r="M54" s="1"/>
      <c r="N54" s="1"/>
    </row>
    <row r="55" spans="1:14" ht="18.75" thickBot="1" x14ac:dyDescent="0.35">
      <c r="A55" s="116"/>
      <c r="B55" s="116"/>
      <c r="C55" s="116"/>
      <c r="D55" s="297" t="s">
        <v>92</v>
      </c>
      <c r="E55" s="297"/>
      <c r="F55" s="297"/>
      <c r="G55" s="117">
        <v>0</v>
      </c>
      <c r="H55" s="244">
        <f>H54*G55</f>
        <v>0</v>
      </c>
      <c r="I55" s="233"/>
      <c r="L55" s="6"/>
      <c r="M55" s="5"/>
      <c r="N55" s="1"/>
    </row>
    <row r="56" spans="1:14" ht="19.5" thickBot="1" x14ac:dyDescent="0.35">
      <c r="A56" s="1"/>
      <c r="B56" s="1"/>
      <c r="C56" s="1"/>
      <c r="D56" s="1"/>
      <c r="E56" s="1"/>
      <c r="F56" s="1"/>
      <c r="G56" s="118" t="s">
        <v>93</v>
      </c>
      <c r="H56" s="295">
        <f>H54-H55</f>
        <v>78477.5</v>
      </c>
      <c r="I56" s="296"/>
      <c r="L56" s="127"/>
      <c r="M56" s="127"/>
      <c r="N56" s="1"/>
    </row>
    <row r="57" spans="1:14" ht="17.25" x14ac:dyDescent="0.3">
      <c r="A57" s="1"/>
      <c r="B57" s="1"/>
      <c r="C57" s="1"/>
      <c r="D57" s="1"/>
      <c r="E57" s="1"/>
      <c r="F57" s="1"/>
      <c r="G57" s="1"/>
      <c r="H57" s="1"/>
      <c r="I57" s="1"/>
    </row>
    <row r="58" spans="1:14" ht="17.25" x14ac:dyDescent="0.3">
      <c r="A58" s="126"/>
      <c r="B58" s="126"/>
      <c r="C58" s="126"/>
      <c r="D58" s="126"/>
      <c r="E58" s="126"/>
      <c r="F58" s="126"/>
      <c r="G58" s="126"/>
      <c r="H58" s="126"/>
      <c r="I58" s="126"/>
    </row>
    <row r="60" spans="1:14" ht="18" thickBot="1" x14ac:dyDescent="0.35">
      <c r="A60" s="275" t="s">
        <v>87</v>
      </c>
      <c r="B60" s="275"/>
      <c r="C60" s="1"/>
      <c r="D60" s="1"/>
      <c r="E60" s="1"/>
      <c r="F60" s="1"/>
      <c r="G60" s="1"/>
      <c r="H60" s="1"/>
      <c r="I60" s="1"/>
      <c r="J60" s="1"/>
      <c r="K60" s="1"/>
    </row>
    <row r="61" spans="1:14" ht="20.25" thickBot="1" x14ac:dyDescent="0.3">
      <c r="A61" s="276" t="s">
        <v>18</v>
      </c>
      <c r="B61" s="277"/>
      <c r="C61" s="277"/>
      <c r="D61" s="278"/>
      <c r="E61" s="293" t="s">
        <v>20</v>
      </c>
      <c r="F61" s="294"/>
      <c r="G61" s="293" t="s">
        <v>19</v>
      </c>
      <c r="H61" s="294"/>
      <c r="I61" s="73" t="s">
        <v>146</v>
      </c>
    </row>
    <row r="62" spans="1:14" ht="17.25" x14ac:dyDescent="0.3">
      <c r="A62" s="13" t="s">
        <v>100</v>
      </c>
      <c r="B62" s="13" t="s">
        <v>113</v>
      </c>
      <c r="C62" s="13"/>
      <c r="D62" s="13"/>
      <c r="E62" s="83">
        <v>2000</v>
      </c>
      <c r="F62" s="84"/>
      <c r="G62" s="77">
        <v>50</v>
      </c>
      <c r="H62" s="79"/>
      <c r="I62" s="83">
        <f>E62*G62</f>
        <v>100000</v>
      </c>
    </row>
    <row r="63" spans="1:14" ht="17.25" x14ac:dyDescent="0.3">
      <c r="A63" s="1" t="s">
        <v>141</v>
      </c>
      <c r="B63" s="49" t="s">
        <v>140</v>
      </c>
      <c r="C63" s="49"/>
      <c r="D63" s="49"/>
      <c r="E63" s="92">
        <v>0</v>
      </c>
      <c r="F63" s="92"/>
      <c r="G63" s="93">
        <v>0</v>
      </c>
      <c r="H63" s="93"/>
      <c r="I63" s="94">
        <v>300000</v>
      </c>
    </row>
    <row r="64" spans="1:14" ht="17.25" x14ac:dyDescent="0.3">
      <c r="A64" s="1"/>
      <c r="B64" s="1"/>
      <c r="C64" s="1"/>
      <c r="D64" s="1"/>
      <c r="E64" s="90"/>
      <c r="F64" s="90"/>
      <c r="G64" s="3"/>
      <c r="H64" s="3"/>
      <c r="I64" s="90">
        <f>G64*E64</f>
        <v>0</v>
      </c>
    </row>
    <row r="65" spans="1:9" ht="17.25" x14ac:dyDescent="0.3">
      <c r="A65" s="1"/>
      <c r="B65" s="1"/>
      <c r="C65" s="1"/>
      <c r="D65" s="1"/>
      <c r="E65" s="90"/>
      <c r="F65" s="90"/>
      <c r="G65" s="5"/>
      <c r="H65" s="1"/>
      <c r="I65" s="127">
        <f>G65*E65</f>
        <v>0</v>
      </c>
    </row>
    <row r="66" spans="1:9" ht="17.25" x14ac:dyDescent="0.3">
      <c r="A66" s="1"/>
      <c r="B66" s="1"/>
      <c r="C66" s="1"/>
      <c r="D66" s="1"/>
      <c r="E66" s="90"/>
      <c r="F66" s="90"/>
      <c r="G66" s="3"/>
      <c r="H66" s="129"/>
      <c r="I66" s="90">
        <f>G66*E66</f>
        <v>0</v>
      </c>
    </row>
    <row r="67" spans="1:9" ht="18" thickBot="1" x14ac:dyDescent="0.35">
      <c r="A67" s="1"/>
      <c r="B67" s="1"/>
      <c r="C67" s="1"/>
      <c r="D67" s="1"/>
      <c r="E67" s="90"/>
      <c r="F67" s="90"/>
      <c r="G67" s="3"/>
      <c r="H67" s="129"/>
      <c r="I67" s="90">
        <f>G67*E67</f>
        <v>0</v>
      </c>
    </row>
    <row r="68" spans="1:9" ht="18" thickBot="1" x14ac:dyDescent="0.35">
      <c r="A68" s="1"/>
      <c r="B68" s="1"/>
      <c r="C68" s="1"/>
      <c r="D68" s="1"/>
      <c r="E68" s="90"/>
      <c r="F68" s="90" t="s">
        <v>114</v>
      </c>
      <c r="G68" s="95" t="s">
        <v>4</v>
      </c>
      <c r="H68" s="96">
        <f>SUM(G62:G64)</f>
        <v>50</v>
      </c>
      <c r="I68" s="169">
        <f>SUM(I62:I67)</f>
        <v>400000</v>
      </c>
    </row>
    <row r="69" spans="1:9" ht="15.75" thickBot="1" x14ac:dyDescent="0.3"/>
    <row r="70" spans="1:9" ht="20.25" thickBot="1" x14ac:dyDescent="0.3">
      <c r="A70" s="276" t="s">
        <v>47</v>
      </c>
      <c r="B70" s="277"/>
      <c r="C70" s="277"/>
      <c r="D70" s="277"/>
      <c r="E70" s="279">
        <v>1000000</v>
      </c>
      <c r="F70" s="280"/>
      <c r="G70" s="280"/>
      <c r="H70" s="280"/>
      <c r="I70" s="281"/>
    </row>
    <row r="71" spans="1:9" ht="17.25" x14ac:dyDescent="0.3">
      <c r="A71" s="266" t="s">
        <v>142</v>
      </c>
      <c r="B71" s="266"/>
      <c r="C71" s="266"/>
      <c r="D71" s="266"/>
      <c r="E71" s="266" t="s">
        <v>143</v>
      </c>
      <c r="F71" s="266"/>
      <c r="G71" s="266"/>
      <c r="H71" s="266"/>
      <c r="I71" s="266"/>
    </row>
    <row r="72" spans="1:9" ht="15.75" thickBot="1" x14ac:dyDescent="0.3"/>
    <row r="73" spans="1:9" ht="20.25" thickBot="1" x14ac:dyDescent="0.3">
      <c r="A73" s="276" t="s">
        <v>56</v>
      </c>
      <c r="B73" s="277"/>
      <c r="C73" s="277"/>
      <c r="D73" s="277"/>
      <c r="E73" s="277"/>
      <c r="F73" s="277"/>
      <c r="G73" s="277"/>
      <c r="H73" s="277"/>
      <c r="I73" s="282"/>
    </row>
    <row r="75" spans="1:9" ht="17.25" x14ac:dyDescent="0.25">
      <c r="A75" s="269" t="s">
        <v>29</v>
      </c>
      <c r="B75" s="270"/>
      <c r="C75" s="270"/>
      <c r="D75" s="271"/>
      <c r="E75" s="291">
        <f>IF($E$71="Medium",IF($E$70&gt;Data!J96,IF($E$70&gt;Data!J97,IF($E$70&gt;Data!J98,IF($E$70&gt;Data!J99,IF($E$70&gt;Data!J100,IF($E$70&gt;Data!J101,IF($E$70&gt;Data!J102,IF($E$70&gt;Data!J103,IF($E$70&gt;Data!J104,IF($E$70&gt;Data!J105,IF($E$70&gt;Data!J106,Data!K107,Data!K106),Data!K105),Data!K104),Data!K103),Data!K102),Data!K101),Data!K100),Data!K99),Data!K98),Data!K97),Data!K96),IF($E$70&gt;Data!J77,IF($E$70&gt;Data!J78,IF($E$70&gt;Data!J79,IF($E$70&gt;Data!J80,IF($E$70&gt;Data!J81,IF($E$70&gt;Data!J82,IF($E$70&gt;Data!J83,IF($E$70&gt;Data!J84,IF($E$70&gt;Data!J85,IF($E$70&gt;Data!J86,IF($E$70&gt;Data!J87,Data!K88,Data!K87),Data!K85),Data!K84),Data!K83),Data!K82),Data!K81),Data!K100),Data!K80),Data!K79),Data!K78),Data!K77))</f>
        <v>129284.7</v>
      </c>
      <c r="F75" s="291"/>
      <c r="G75" s="291"/>
      <c r="H75" s="291"/>
      <c r="I75" s="292"/>
    </row>
    <row r="76" spans="1:9" ht="17.25" x14ac:dyDescent="0.25">
      <c r="A76" s="305" t="s">
        <v>61</v>
      </c>
      <c r="B76" s="306"/>
      <c r="C76" s="306"/>
      <c r="D76" s="307"/>
      <c r="E76" s="244">
        <f>IF($E$71="Medium",($E$70-(VLOOKUP($E$75,Data!K96:M107,3,FALSE)))*(VLOOKUP($E$75,Data!K96:M107,2,FALSE)),($E$70-(VLOOKUP($E$75,Data!K77:M88,3,FALSE)))*(VLOOKUP($E$75,Data!K77:M88,2,FALSE)))</f>
        <v>46024.868500000004</v>
      </c>
      <c r="F76" s="244"/>
      <c r="G76" s="244"/>
      <c r="H76" s="244"/>
      <c r="I76" s="311"/>
    </row>
    <row r="77" spans="1:9" ht="17.25" x14ac:dyDescent="0.25">
      <c r="A77" s="305"/>
      <c r="B77" s="306"/>
      <c r="C77" s="306"/>
      <c r="D77" s="307"/>
      <c r="E77" s="244">
        <f>E75+E76</f>
        <v>175309.56849999999</v>
      </c>
      <c r="F77" s="244"/>
      <c r="G77" s="244"/>
      <c r="H77" s="244"/>
      <c r="I77" s="311"/>
    </row>
    <row r="78" spans="1:9" ht="17.25" x14ac:dyDescent="0.25">
      <c r="A78" s="305" t="s">
        <v>64</v>
      </c>
      <c r="B78" s="306"/>
      <c r="C78" s="306"/>
      <c r="D78" s="307"/>
      <c r="E78" s="233">
        <v>0</v>
      </c>
      <c r="F78" s="233"/>
      <c r="G78" s="233"/>
      <c r="H78" s="233"/>
      <c r="I78" s="314"/>
    </row>
    <row r="79" spans="1:9" ht="22.5" customHeight="1" x14ac:dyDescent="0.25">
      <c r="A79" s="308" t="s">
        <v>66</v>
      </c>
      <c r="B79" s="309"/>
      <c r="C79" s="309"/>
      <c r="D79" s="310"/>
      <c r="E79" s="312">
        <f>E77+E78</f>
        <v>175309.56849999999</v>
      </c>
      <c r="F79" s="312"/>
      <c r="G79" s="312"/>
      <c r="H79" s="312"/>
      <c r="I79" s="313"/>
    </row>
    <row r="80" spans="1:9" ht="15.75" thickBot="1" x14ac:dyDescent="0.3"/>
    <row r="81" spans="1:13" ht="19.5" thickBot="1" x14ac:dyDescent="0.35">
      <c r="A81" s="315" t="s">
        <v>48</v>
      </c>
      <c r="B81" s="316"/>
      <c r="C81" s="316"/>
      <c r="D81" s="317"/>
      <c r="E81" s="193" t="s">
        <v>49</v>
      </c>
      <c r="F81" s="194" t="s">
        <v>50</v>
      </c>
      <c r="G81" s="262" t="s">
        <v>51</v>
      </c>
      <c r="H81" s="289"/>
      <c r="I81" s="194" t="s">
        <v>52</v>
      </c>
    </row>
    <row r="82" spans="1:13" ht="17.25" x14ac:dyDescent="0.3">
      <c r="A82" s="186" t="s">
        <v>54</v>
      </c>
      <c r="B82" s="266" t="s">
        <v>55</v>
      </c>
      <c r="C82" s="266"/>
      <c r="D82" s="266"/>
      <c r="E82" s="187">
        <v>0.4</v>
      </c>
      <c r="F82" s="140">
        <f>$E$79*E82</f>
        <v>70123.827399999995</v>
      </c>
      <c r="G82" s="290">
        <v>0</v>
      </c>
      <c r="H82" s="290"/>
      <c r="I82" s="188">
        <f>IF(G82=0,F82,F82-(F82*G82))</f>
        <v>70123.827399999995</v>
      </c>
      <c r="K82" s="6"/>
    </row>
    <row r="83" spans="1:13" ht="17.25" x14ac:dyDescent="0.3">
      <c r="A83" s="189" t="s">
        <v>57</v>
      </c>
      <c r="B83" s="240" t="s">
        <v>58</v>
      </c>
      <c r="C83" s="240"/>
      <c r="D83" s="240"/>
      <c r="E83" s="190">
        <v>0.2</v>
      </c>
      <c r="F83" s="6">
        <f>$E$79*E83</f>
        <v>35061.913699999997</v>
      </c>
      <c r="G83" s="303">
        <v>0</v>
      </c>
      <c r="H83" s="303"/>
      <c r="I83" s="151">
        <f>IF(G83=0,F83,F83-(F83*G83))</f>
        <v>35061.913699999997</v>
      </c>
      <c r="K83" s="6"/>
      <c r="L83" s="164"/>
      <c r="M83" s="164"/>
    </row>
    <row r="84" spans="1:13" ht="17.25" x14ac:dyDescent="0.3">
      <c r="A84" s="189" t="s">
        <v>75</v>
      </c>
      <c r="B84" s="240" t="s">
        <v>59</v>
      </c>
      <c r="C84" s="240"/>
      <c r="D84" s="240"/>
      <c r="E84" s="190">
        <v>0.1</v>
      </c>
      <c r="F84" s="6">
        <f>$E$79*E84</f>
        <v>17530.956849999999</v>
      </c>
      <c r="G84" s="303">
        <v>1</v>
      </c>
      <c r="H84" s="303"/>
      <c r="I84" s="151">
        <f>IF(G84=0,F84,F84-(F84*G84))</f>
        <v>0</v>
      </c>
      <c r="K84" s="6"/>
      <c r="L84" s="164"/>
      <c r="M84" s="164"/>
    </row>
    <row r="85" spans="1:13" ht="18" thickBot="1" x14ac:dyDescent="0.35">
      <c r="A85" s="191" t="s">
        <v>62</v>
      </c>
      <c r="B85" s="268" t="s">
        <v>63</v>
      </c>
      <c r="C85" s="268"/>
      <c r="D85" s="268"/>
      <c r="E85" s="192">
        <v>0.3</v>
      </c>
      <c r="F85" s="149">
        <f>$E$79*E85</f>
        <v>52592.87055</v>
      </c>
      <c r="G85" s="304">
        <v>1</v>
      </c>
      <c r="H85" s="304"/>
      <c r="I85" s="150">
        <f>IF(G85=0,F85,F85-(F85*G85))</f>
        <v>0</v>
      </c>
      <c r="K85" s="6"/>
      <c r="L85" s="164"/>
      <c r="M85" s="164"/>
    </row>
    <row r="86" spans="1:13" ht="18" thickBot="1" x14ac:dyDescent="0.35">
      <c r="A86" s="1"/>
      <c r="B86" s="1"/>
      <c r="C86" s="1"/>
      <c r="F86" s="1"/>
      <c r="G86" s="266"/>
      <c r="H86" s="266"/>
      <c r="I86" s="1"/>
    </row>
    <row r="87" spans="1:13" ht="19.5" thickBot="1" x14ac:dyDescent="0.35">
      <c r="A87" s="1"/>
      <c r="B87" s="1"/>
      <c r="C87" s="1"/>
      <c r="F87" s="262" t="s">
        <v>151</v>
      </c>
      <c r="G87" s="263"/>
      <c r="H87" s="263"/>
      <c r="I87" s="200">
        <f>I88*(1-(SUM(I82:I85)/I88))</f>
        <v>70123.827399999995</v>
      </c>
      <c r="K87" s="198"/>
    </row>
    <row r="88" spans="1:13" ht="19.5" thickBot="1" x14ac:dyDescent="0.35">
      <c r="B88" s="195"/>
      <c r="C88" s="195"/>
      <c r="F88" s="262" t="s">
        <v>65</v>
      </c>
      <c r="G88" s="263"/>
      <c r="H88" s="263"/>
      <c r="I88" s="200">
        <f>SUM(F82:F85)</f>
        <v>175309.56849999999</v>
      </c>
    </row>
    <row r="89" spans="1:13" ht="15.75" thickBot="1" x14ac:dyDescent="0.3"/>
    <row r="90" spans="1:13" ht="18.75" thickBot="1" x14ac:dyDescent="0.3">
      <c r="F90" s="264" t="s">
        <v>150</v>
      </c>
      <c r="G90" s="265"/>
      <c r="H90" s="265"/>
      <c r="I90" s="196">
        <f>I88-I87</f>
        <v>105185.7411</v>
      </c>
      <c r="L90" s="199"/>
    </row>
    <row r="91" spans="1:13" x14ac:dyDescent="0.25">
      <c r="L91" s="197"/>
    </row>
    <row r="92" spans="1:13" x14ac:dyDescent="0.25">
      <c r="D92" s="267"/>
      <c r="E92" s="267"/>
    </row>
    <row r="93" spans="1:13" x14ac:dyDescent="0.25">
      <c r="D93" s="267"/>
      <c r="E93" s="267"/>
    </row>
    <row r="94" spans="1:13" x14ac:dyDescent="0.25">
      <c r="D94" s="267"/>
      <c r="E94" s="267"/>
    </row>
  </sheetData>
  <mergeCells count="91">
    <mergeCell ref="A1:I16"/>
    <mergeCell ref="A17:I17"/>
    <mergeCell ref="H44:I44"/>
    <mergeCell ref="H53:I53"/>
    <mergeCell ref="D54:F54"/>
    <mergeCell ref="H54:I54"/>
    <mergeCell ref="A49:B49"/>
    <mergeCell ref="H49:I49"/>
    <mergeCell ref="A50:B50"/>
    <mergeCell ref="H50:I50"/>
    <mergeCell ref="A51:B51"/>
    <mergeCell ref="H51:I51"/>
    <mergeCell ref="A43:B43"/>
    <mergeCell ref="A19:C19"/>
    <mergeCell ref="A20:C20"/>
    <mergeCell ref="A29:B29"/>
    <mergeCell ref="A30:B30"/>
    <mergeCell ref="H30:I30"/>
    <mergeCell ref="A23:B23"/>
    <mergeCell ref="H23:I23"/>
    <mergeCell ref="A24:B24"/>
    <mergeCell ref="H24:I24"/>
    <mergeCell ref="A27:B27"/>
    <mergeCell ref="H27:I27"/>
    <mergeCell ref="A28:B28"/>
    <mergeCell ref="H25:I25"/>
    <mergeCell ref="H20:I20"/>
    <mergeCell ref="H56:I56"/>
    <mergeCell ref="H43:I43"/>
    <mergeCell ref="A40:C40"/>
    <mergeCell ref="A41:C41"/>
    <mergeCell ref="D55:F55"/>
    <mergeCell ref="H55:I55"/>
    <mergeCell ref="H41:I41"/>
    <mergeCell ref="A21:B21"/>
    <mergeCell ref="H21:I21"/>
    <mergeCell ref="H22:I22"/>
    <mergeCell ref="A42:B42"/>
    <mergeCell ref="H42:I42"/>
    <mergeCell ref="H31:I31"/>
    <mergeCell ref="H33:I33"/>
    <mergeCell ref="H34:I34"/>
    <mergeCell ref="G83:H83"/>
    <mergeCell ref="G84:H84"/>
    <mergeCell ref="G85:H85"/>
    <mergeCell ref="B82:D82"/>
    <mergeCell ref="A76:D76"/>
    <mergeCell ref="A77:D77"/>
    <mergeCell ref="A78:D78"/>
    <mergeCell ref="A79:D79"/>
    <mergeCell ref="E76:I76"/>
    <mergeCell ref="E77:I77"/>
    <mergeCell ref="E79:I79"/>
    <mergeCell ref="E78:I78"/>
    <mergeCell ref="A81:D81"/>
    <mergeCell ref="K21:M21"/>
    <mergeCell ref="K23:M23"/>
    <mergeCell ref="G81:H81"/>
    <mergeCell ref="G82:H82"/>
    <mergeCell ref="E75:I75"/>
    <mergeCell ref="E61:F61"/>
    <mergeCell ref="G61:H61"/>
    <mergeCell ref="H35:I35"/>
    <mergeCell ref="F33:G33"/>
    <mergeCell ref="F34:G34"/>
    <mergeCell ref="F35:G35"/>
    <mergeCell ref="H28:I28"/>
    <mergeCell ref="H29:I29"/>
    <mergeCell ref="H45:I45"/>
    <mergeCell ref="H46:I46"/>
    <mergeCell ref="H47:I47"/>
    <mergeCell ref="A75:D75"/>
    <mergeCell ref="A52:B52"/>
    <mergeCell ref="H52:I52"/>
    <mergeCell ref="A60:B60"/>
    <mergeCell ref="A61:D61"/>
    <mergeCell ref="A71:D71"/>
    <mergeCell ref="A70:D70"/>
    <mergeCell ref="E70:I70"/>
    <mergeCell ref="E71:I71"/>
    <mergeCell ref="A73:I73"/>
    <mergeCell ref="D93:E93"/>
    <mergeCell ref="D94:E94"/>
    <mergeCell ref="B83:D83"/>
    <mergeCell ref="B84:D84"/>
    <mergeCell ref="B85:D85"/>
    <mergeCell ref="F87:H87"/>
    <mergeCell ref="F88:H88"/>
    <mergeCell ref="F90:H90"/>
    <mergeCell ref="G86:H86"/>
    <mergeCell ref="D92:E92"/>
  </mergeCells>
  <dataValidations count="2">
    <dataValidation type="list" allowBlank="1" showInputMessage="1" showErrorMessage="1" sqref="E71" xr:uid="{A7818786-B2B9-4291-9E11-4930828A1787}">
      <formula1>"Medium,High"</formula1>
    </dataValidation>
    <dataValidation type="list" allowBlank="1" showInputMessage="1" showErrorMessage="1" sqref="D22:D25 D28:D30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A2:AF107"/>
  <sheetViews>
    <sheetView topLeftCell="H1" zoomScale="85" zoomScaleNormal="85" workbookViewId="0">
      <selection activeCell="H13" sqref="H13"/>
    </sheetView>
  </sheetViews>
  <sheetFormatPr defaultRowHeight="17.25" x14ac:dyDescent="0.3"/>
  <cols>
    <col min="1" max="2" width="9.140625" style="1"/>
    <col min="3" max="3" width="11.5703125" style="1" customWidth="1"/>
    <col min="4" max="4" width="10" style="1" bestFit="1" customWidth="1"/>
    <col min="5" max="5" width="9.140625" style="1"/>
    <col min="6" max="6" width="17.85546875" style="1" customWidth="1"/>
    <col min="7" max="7" width="12.28515625" style="1" bestFit="1" customWidth="1"/>
    <col min="8" max="8" width="43" style="1" bestFit="1" customWidth="1"/>
    <col min="9" max="9" width="21.28515625" style="1" bestFit="1" customWidth="1"/>
    <col min="10" max="10" width="15.42578125" style="1" customWidth="1"/>
    <col min="11" max="11" width="25.85546875" style="1" bestFit="1" customWidth="1"/>
    <col min="12" max="12" width="14.28515625" style="1" bestFit="1" customWidth="1"/>
    <col min="13" max="13" width="21.42578125" style="1" bestFit="1" customWidth="1"/>
    <col min="14" max="14" width="12.140625" style="1" bestFit="1" customWidth="1"/>
    <col min="15" max="15" width="9.140625" style="1"/>
    <col min="16" max="16" width="26" style="1" bestFit="1" customWidth="1"/>
    <col min="17" max="18" width="9.140625" style="1"/>
    <col min="19" max="19" width="24.140625" style="1" bestFit="1" customWidth="1"/>
    <col min="20" max="20" width="44.85546875" style="1" bestFit="1" customWidth="1"/>
    <col min="21" max="21" width="21.85546875" style="1" bestFit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19" ht="18" thickBot="1" x14ac:dyDescent="0.35">
      <c r="A2" s="336"/>
      <c r="B2" s="336"/>
      <c r="C2" s="336"/>
      <c r="D2" s="336"/>
      <c r="E2" s="336"/>
      <c r="H2" s="275" t="s">
        <v>87</v>
      </c>
      <c r="I2" s="275"/>
    </row>
    <row r="3" spans="1:19" ht="21" thickBot="1" x14ac:dyDescent="0.35">
      <c r="A3" s="336"/>
      <c r="B3" s="336"/>
      <c r="C3" s="336"/>
      <c r="D3" s="336"/>
      <c r="E3" s="336"/>
      <c r="H3" s="276" t="s">
        <v>18</v>
      </c>
      <c r="I3" s="277"/>
      <c r="J3" s="277"/>
      <c r="K3" s="278"/>
      <c r="L3" s="293" t="s">
        <v>20</v>
      </c>
      <c r="M3" s="294"/>
      <c r="N3" s="293" t="s">
        <v>19</v>
      </c>
      <c r="O3" s="294"/>
      <c r="P3" s="293" t="s">
        <v>21</v>
      </c>
      <c r="Q3" s="362"/>
      <c r="R3" s="363"/>
    </row>
    <row r="4" spans="1:19" x14ac:dyDescent="0.3">
      <c r="A4" s="336"/>
      <c r="B4" s="336"/>
      <c r="C4" s="336"/>
      <c r="D4" s="336"/>
      <c r="E4" s="336"/>
      <c r="H4" s="13" t="s">
        <v>100</v>
      </c>
      <c r="I4" s="13" t="s">
        <v>113</v>
      </c>
      <c r="J4" s="13"/>
      <c r="K4" s="13"/>
      <c r="L4" s="83">
        <v>2000</v>
      </c>
      <c r="M4" s="84"/>
      <c r="N4" s="77">
        <v>50</v>
      </c>
      <c r="O4" s="79"/>
      <c r="P4" s="83">
        <f>L4*N4</f>
        <v>100000</v>
      </c>
      <c r="Q4" s="88"/>
      <c r="R4" s="84"/>
    </row>
    <row r="5" spans="1:19" x14ac:dyDescent="0.3">
      <c r="A5" s="336"/>
      <c r="B5" s="336"/>
      <c r="C5" s="336"/>
      <c r="D5" s="336"/>
      <c r="E5" s="336"/>
      <c r="H5" s="1" t="s">
        <v>141</v>
      </c>
      <c r="I5" s="49" t="s">
        <v>140</v>
      </c>
      <c r="J5" s="49"/>
      <c r="K5" s="49"/>
      <c r="L5" s="92">
        <v>0</v>
      </c>
      <c r="M5" s="92"/>
      <c r="N5" s="93">
        <v>0</v>
      </c>
      <c r="O5" s="93"/>
      <c r="P5" s="94">
        <v>300000</v>
      </c>
      <c r="Q5" s="94"/>
      <c r="R5" s="94"/>
    </row>
    <row r="6" spans="1:19" x14ac:dyDescent="0.3">
      <c r="A6" s="336"/>
      <c r="B6" s="336"/>
      <c r="C6" s="336"/>
      <c r="D6" s="336"/>
      <c r="E6" s="336"/>
      <c r="L6" s="90"/>
      <c r="M6" s="90"/>
      <c r="N6" s="3"/>
      <c r="O6" s="3"/>
      <c r="P6" s="90">
        <f>N6*L6</f>
        <v>0</v>
      </c>
      <c r="Q6" s="90"/>
      <c r="R6" s="90"/>
    </row>
    <row r="7" spans="1:19" x14ac:dyDescent="0.3">
      <c r="A7" s="336"/>
      <c r="B7" s="336"/>
      <c r="C7" s="336"/>
      <c r="D7" s="336"/>
      <c r="E7" s="336"/>
      <c r="L7" s="90"/>
      <c r="M7" s="90"/>
      <c r="N7" s="5"/>
      <c r="P7" s="127">
        <f>N7*L7</f>
        <v>0</v>
      </c>
    </row>
    <row r="8" spans="1:19" x14ac:dyDescent="0.3">
      <c r="A8" s="336"/>
      <c r="B8" s="336"/>
      <c r="C8" s="336"/>
      <c r="D8" s="336"/>
      <c r="E8" s="336"/>
      <c r="L8" s="90"/>
      <c r="M8" s="90"/>
      <c r="N8" s="3"/>
      <c r="O8" s="129"/>
      <c r="P8" s="90">
        <f>N8*L8</f>
        <v>0</v>
      </c>
      <c r="Q8" s="130"/>
      <c r="R8" s="130"/>
    </row>
    <row r="9" spans="1:19" ht="18" thickBot="1" x14ac:dyDescent="0.35">
      <c r="A9" s="336"/>
      <c r="B9" s="336"/>
      <c r="C9" s="336"/>
      <c r="D9" s="336"/>
      <c r="E9" s="336"/>
      <c r="L9" s="90"/>
      <c r="M9" s="90"/>
      <c r="N9" s="3"/>
      <c r="O9" s="129"/>
      <c r="P9" s="90">
        <f>N9*L9</f>
        <v>0</v>
      </c>
      <c r="Q9" s="130"/>
      <c r="R9" s="130"/>
    </row>
    <row r="10" spans="1:19" ht="18" thickBot="1" x14ac:dyDescent="0.35">
      <c r="A10" s="336"/>
      <c r="B10" s="336"/>
      <c r="C10" s="336"/>
      <c r="D10" s="336"/>
      <c r="E10" s="336"/>
      <c r="L10" s="90"/>
      <c r="M10" s="90" t="s">
        <v>114</v>
      </c>
      <c r="N10" s="95" t="s">
        <v>4</v>
      </c>
      <c r="O10" s="96">
        <f>SUM(N4:N6)</f>
        <v>50</v>
      </c>
      <c r="P10" s="97">
        <f>SUM(P4:P9)</f>
        <v>400000</v>
      </c>
      <c r="Q10" s="98"/>
      <c r="R10" s="99"/>
    </row>
    <row r="11" spans="1:19" ht="18" thickBot="1" x14ac:dyDescent="0.35">
      <c r="A11" s="336"/>
      <c r="B11" s="336"/>
      <c r="C11" s="336"/>
      <c r="D11" s="336"/>
      <c r="E11" s="336"/>
    </row>
    <row r="12" spans="1:19" ht="21" thickBot="1" x14ac:dyDescent="0.35">
      <c r="A12" s="336"/>
      <c r="B12" s="336"/>
      <c r="C12" s="336"/>
      <c r="D12" s="336"/>
      <c r="E12" s="336"/>
      <c r="H12" s="85" t="s">
        <v>107</v>
      </c>
      <c r="I12" s="86"/>
      <c r="J12" s="86"/>
      <c r="K12" s="87"/>
      <c r="L12" s="73" t="s">
        <v>20</v>
      </c>
      <c r="M12" s="74"/>
      <c r="N12" s="73" t="s">
        <v>19</v>
      </c>
      <c r="O12" s="74"/>
      <c r="P12" s="73" t="s">
        <v>21</v>
      </c>
      <c r="Q12" s="75"/>
      <c r="R12" s="76"/>
    </row>
    <row r="13" spans="1:19" x14ac:dyDescent="0.3">
      <c r="A13" s="336"/>
      <c r="B13" s="336"/>
      <c r="C13" s="336"/>
      <c r="D13" s="336"/>
      <c r="E13" s="336"/>
      <c r="H13" s="77" t="s">
        <v>110</v>
      </c>
      <c r="I13" s="78"/>
      <c r="J13" s="78"/>
      <c r="K13" s="79"/>
      <c r="L13" s="83">
        <v>20</v>
      </c>
      <c r="M13" s="84"/>
      <c r="N13" s="77">
        <v>273</v>
      </c>
      <c r="O13" s="79"/>
      <c r="P13" s="80">
        <f>L13*N13</f>
        <v>5460</v>
      </c>
      <c r="Q13" s="81"/>
      <c r="R13" s="82"/>
    </row>
    <row r="14" spans="1:19" ht="18" thickBot="1" x14ac:dyDescent="0.35">
      <c r="A14" s="336"/>
      <c r="B14" s="336"/>
      <c r="C14" s="336"/>
      <c r="D14" s="336"/>
      <c r="E14" s="336"/>
    </row>
    <row r="15" spans="1:19" ht="21" thickBot="1" x14ac:dyDescent="0.35">
      <c r="A15" s="336"/>
      <c r="B15" s="336"/>
      <c r="C15" s="336"/>
      <c r="D15" s="336"/>
      <c r="E15" s="336"/>
      <c r="H15" s="70" t="s">
        <v>22</v>
      </c>
      <c r="I15" s="71"/>
      <c r="J15" s="71"/>
      <c r="K15" s="72"/>
      <c r="L15" s="73" t="s">
        <v>20</v>
      </c>
      <c r="M15" s="74"/>
      <c r="N15" s="73" t="s">
        <v>19</v>
      </c>
      <c r="O15" s="74"/>
      <c r="P15" s="73" t="s">
        <v>21</v>
      </c>
      <c r="Q15" s="75"/>
      <c r="R15" s="76"/>
    </row>
    <row r="16" spans="1:19" x14ac:dyDescent="0.3">
      <c r="A16" s="336"/>
      <c r="B16" s="336"/>
      <c r="C16" s="336"/>
      <c r="D16" s="336"/>
      <c r="E16" s="336"/>
      <c r="H16" s="77" t="s">
        <v>23</v>
      </c>
      <c r="I16" s="78"/>
      <c r="J16" s="78"/>
      <c r="K16" s="79"/>
      <c r="L16" s="83">
        <v>30</v>
      </c>
      <c r="M16" s="84"/>
      <c r="N16" s="77">
        <v>273</v>
      </c>
      <c r="O16" s="79"/>
      <c r="P16" s="80">
        <f>L16*N16</f>
        <v>8190</v>
      </c>
      <c r="Q16" s="81"/>
      <c r="R16" s="82"/>
      <c r="S16" s="3"/>
    </row>
    <row r="17" spans="1:21" ht="21" customHeight="1" thickBot="1" x14ac:dyDescent="0.35">
      <c r="A17" s="357"/>
      <c r="B17" s="357"/>
      <c r="C17" s="357"/>
      <c r="D17" s="357"/>
      <c r="E17" s="357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3"/>
    </row>
    <row r="18" spans="1:21" ht="21" thickBot="1" x14ac:dyDescent="0.35">
      <c r="A18" s="337" t="s">
        <v>15</v>
      </c>
      <c r="B18" s="338"/>
      <c r="C18" s="338"/>
      <c r="D18" s="338"/>
      <c r="E18" s="339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3"/>
    </row>
    <row r="19" spans="1:21" ht="18.75" customHeight="1" thickBot="1" x14ac:dyDescent="0.35">
      <c r="A19" s="365" t="s">
        <v>97</v>
      </c>
      <c r="B19" s="365"/>
      <c r="C19" s="365"/>
      <c r="D19" s="365"/>
      <c r="E19" s="365"/>
      <c r="F19" s="3" t="s">
        <v>19</v>
      </c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</row>
    <row r="20" spans="1:21" ht="21" customHeight="1" thickBot="1" x14ac:dyDescent="0.35">
      <c r="A20" s="369" t="s">
        <v>16</v>
      </c>
      <c r="B20" s="370"/>
      <c r="C20" s="370"/>
      <c r="D20" s="371"/>
      <c r="E20" s="119" t="s">
        <v>74</v>
      </c>
      <c r="F20" s="89">
        <v>150</v>
      </c>
      <c r="G20" s="1" t="s">
        <v>17</v>
      </c>
      <c r="H20" s="319" t="s">
        <v>82</v>
      </c>
      <c r="I20" s="320"/>
      <c r="J20" s="321"/>
      <c r="L20" s="3" t="s">
        <v>86</v>
      </c>
    </row>
    <row r="21" spans="1:21" ht="18" customHeight="1" thickBot="1" x14ac:dyDescent="0.35">
      <c r="A21" s="366" t="s">
        <v>71</v>
      </c>
      <c r="B21" s="367"/>
      <c r="C21" s="367"/>
      <c r="D21" s="368"/>
      <c r="E21" s="12" t="s">
        <v>4</v>
      </c>
      <c r="F21" s="89">
        <f>E22</f>
        <v>0</v>
      </c>
      <c r="G21" s="1" t="s">
        <v>17</v>
      </c>
      <c r="H21" s="322" t="s">
        <v>77</v>
      </c>
      <c r="I21" s="318"/>
      <c r="J21" s="318"/>
      <c r="K21" s="68" t="s">
        <v>79</v>
      </c>
      <c r="L21" s="68" t="s">
        <v>80</v>
      </c>
      <c r="M21" s="68" t="s">
        <v>78</v>
      </c>
      <c r="N21" s="111" t="s">
        <v>24</v>
      </c>
      <c r="O21" s="318" t="s">
        <v>5</v>
      </c>
      <c r="P21" s="318"/>
      <c r="Q21" s="124"/>
    </row>
    <row r="22" spans="1:21" ht="18" thickBot="1" x14ac:dyDescent="0.35">
      <c r="A22" s="91"/>
      <c r="B22" s="91">
        <v>1</v>
      </c>
      <c r="C22" s="372" t="s">
        <v>72</v>
      </c>
      <c r="D22" s="372"/>
      <c r="E22" s="364">
        <v>0</v>
      </c>
      <c r="F22" s="364"/>
      <c r="G22" s="1" t="s">
        <v>17</v>
      </c>
      <c r="H22" s="323" t="s">
        <v>83</v>
      </c>
      <c r="I22" s="324"/>
      <c r="J22" s="114"/>
      <c r="K22" s="114"/>
      <c r="L22" s="120"/>
      <c r="M22" s="121">
        <f>M24+M25</f>
        <v>28</v>
      </c>
      <c r="N22" s="122">
        <f>N24+N25</f>
        <v>3.5</v>
      </c>
      <c r="O22" s="325">
        <f>SUM(O23:P25)</f>
        <v>22464</v>
      </c>
      <c r="P22" s="326"/>
      <c r="Q22" s="2"/>
      <c r="R22" s="2"/>
    </row>
    <row r="23" spans="1:21" x14ac:dyDescent="0.3">
      <c r="A23" s="91"/>
      <c r="B23" s="91">
        <v>2</v>
      </c>
      <c r="C23" s="233" t="s">
        <v>73</v>
      </c>
      <c r="D23" s="233"/>
      <c r="E23" s="233">
        <v>0</v>
      </c>
      <c r="F23" s="233"/>
      <c r="G23" s="1" t="s">
        <v>17</v>
      </c>
      <c r="H23" s="136" t="s">
        <v>109</v>
      </c>
      <c r="I23" s="135"/>
      <c r="J23" s="43" t="s">
        <v>23</v>
      </c>
      <c r="K23" s="43" t="s">
        <v>81</v>
      </c>
      <c r="L23" s="43">
        <v>624</v>
      </c>
      <c r="M23" s="138">
        <f>N23*8</f>
        <v>8</v>
      </c>
      <c r="N23" s="137">
        <v>1</v>
      </c>
      <c r="O23" s="346">
        <f>M23*L23</f>
        <v>4992</v>
      </c>
      <c r="P23" s="346"/>
      <c r="Q23" s="2"/>
      <c r="R23" s="2"/>
    </row>
    <row r="24" spans="1:21" x14ac:dyDescent="0.3">
      <c r="A24" s="91"/>
      <c r="H24" s="330" t="s">
        <v>108</v>
      </c>
      <c r="I24" s="330"/>
      <c r="J24" s="112"/>
      <c r="K24" s="112" t="s">
        <v>81</v>
      </c>
      <c r="L24" s="112">
        <v>624</v>
      </c>
      <c r="M24" s="23">
        <f>N24*8</f>
        <v>16</v>
      </c>
      <c r="N24" s="113">
        <v>2</v>
      </c>
      <c r="O24" s="327">
        <f>M24*L24</f>
        <v>9984</v>
      </c>
      <c r="P24" s="328"/>
      <c r="Q24" s="2"/>
      <c r="R24" s="2"/>
    </row>
    <row r="25" spans="1:21" ht="18" thickBot="1" x14ac:dyDescent="0.35">
      <c r="H25" s="272" t="s">
        <v>85</v>
      </c>
      <c r="I25" s="272"/>
      <c r="J25" s="49"/>
      <c r="K25" s="49" t="s">
        <v>81</v>
      </c>
      <c r="L25" s="51">
        <v>624</v>
      </c>
      <c r="M25" s="49">
        <f>N25*8</f>
        <v>12</v>
      </c>
      <c r="N25" s="109">
        <v>1.5</v>
      </c>
      <c r="O25" s="331">
        <f>M25*L25</f>
        <v>7488</v>
      </c>
      <c r="P25" s="332"/>
      <c r="Q25" s="2"/>
      <c r="R25" s="2"/>
    </row>
    <row r="26" spans="1:21" ht="18.75" thickBot="1" x14ac:dyDescent="0.35">
      <c r="A26" s="349" t="s">
        <v>44</v>
      </c>
      <c r="B26" s="350"/>
      <c r="C26" s="350"/>
      <c r="D26" s="35" t="s">
        <v>45</v>
      </c>
      <c r="E26" s="33"/>
      <c r="F26" s="34" t="s">
        <v>4</v>
      </c>
      <c r="H26" s="4"/>
      <c r="I26" s="4"/>
    </row>
    <row r="27" spans="1:21" ht="18" thickBot="1" x14ac:dyDescent="0.35">
      <c r="A27" s="351">
        <v>1500000</v>
      </c>
      <c r="B27" s="233"/>
      <c r="C27" s="233"/>
      <c r="D27" s="5">
        <v>500</v>
      </c>
      <c r="E27" s="5"/>
      <c r="F27" s="30">
        <v>0</v>
      </c>
      <c r="H27" s="333" t="s">
        <v>88</v>
      </c>
      <c r="I27" s="334"/>
      <c r="J27" s="110"/>
      <c r="K27" s="110"/>
      <c r="L27" s="110"/>
      <c r="M27" s="123">
        <f>M28+M29</f>
        <v>32</v>
      </c>
      <c r="N27" s="123">
        <f>N28+N29</f>
        <v>4</v>
      </c>
      <c r="O27" s="325">
        <f>SUM(O28:P30)</f>
        <v>19968</v>
      </c>
      <c r="P27" s="254"/>
      <c r="Q27" s="2"/>
      <c r="R27" s="2"/>
      <c r="S27" s="148" t="s">
        <v>103</v>
      </c>
      <c r="T27" s="144" t="s">
        <v>105</v>
      </c>
      <c r="U27" s="19"/>
    </row>
    <row r="28" spans="1:21" x14ac:dyDescent="0.3">
      <c r="A28" s="352" t="s">
        <v>46</v>
      </c>
      <c r="B28" s="353"/>
      <c r="C28" s="354"/>
      <c r="F28" s="20"/>
      <c r="H28" s="341" t="s">
        <v>89</v>
      </c>
      <c r="I28" s="341"/>
      <c r="J28" s="13"/>
      <c r="K28" s="13" t="s">
        <v>81</v>
      </c>
      <c r="L28" s="43">
        <v>624</v>
      </c>
      <c r="M28" s="13">
        <f>N28*8</f>
        <v>32</v>
      </c>
      <c r="N28" s="115">
        <v>4</v>
      </c>
      <c r="O28" s="342">
        <f>M28*L28</f>
        <v>19968</v>
      </c>
      <c r="P28" s="343"/>
      <c r="Q28" s="2"/>
      <c r="R28" s="2"/>
      <c r="S28" s="143">
        <f>N27+N22</f>
        <v>7.5</v>
      </c>
      <c r="T28" s="127">
        <f>O34/S28</f>
        <v>5657.6</v>
      </c>
      <c r="U28" s="151"/>
    </row>
    <row r="29" spans="1:21" ht="18" thickBot="1" x14ac:dyDescent="0.35">
      <c r="A29" s="355">
        <f>F27</f>
        <v>0</v>
      </c>
      <c r="B29" s="356"/>
      <c r="C29" s="356"/>
      <c r="D29" s="21">
        <f>D27</f>
        <v>500</v>
      </c>
      <c r="E29" s="21"/>
      <c r="F29" s="36">
        <f>A29/D29</f>
        <v>0</v>
      </c>
      <c r="G29" s="1" t="s">
        <v>40</v>
      </c>
      <c r="H29" s="272" t="s">
        <v>90</v>
      </c>
      <c r="I29" s="272"/>
      <c r="J29" s="49"/>
      <c r="K29" s="49" t="s">
        <v>81</v>
      </c>
      <c r="L29" s="51">
        <v>624</v>
      </c>
      <c r="M29" s="49">
        <f>N29*8</f>
        <v>0</v>
      </c>
      <c r="N29" s="109">
        <v>0</v>
      </c>
      <c r="O29" s="273">
        <f>M29*L29</f>
        <v>0</v>
      </c>
      <c r="P29" s="274"/>
      <c r="Q29" s="2"/>
      <c r="R29" s="2"/>
      <c r="S29" s="152"/>
      <c r="U29" s="151"/>
    </row>
    <row r="30" spans="1:21" x14ac:dyDescent="0.3">
      <c r="A30" s="90"/>
      <c r="B30" s="3"/>
      <c r="C30" s="3"/>
      <c r="F30" s="6"/>
      <c r="H30" s="128" t="s">
        <v>102</v>
      </c>
      <c r="I30" s="128" t="s">
        <v>23</v>
      </c>
      <c r="J30" s="49"/>
      <c r="K30" s="49" t="s">
        <v>81</v>
      </c>
      <c r="L30" s="51">
        <v>624</v>
      </c>
      <c r="M30" s="49">
        <f>N30*8</f>
        <v>0</v>
      </c>
      <c r="N30" s="109">
        <v>0</v>
      </c>
      <c r="O30" s="329">
        <f>M30*L30</f>
        <v>0</v>
      </c>
      <c r="P30" s="329"/>
      <c r="Q30" s="2"/>
      <c r="R30" s="2"/>
      <c r="S30" s="152"/>
      <c r="T30" s="6"/>
      <c r="U30" s="151"/>
    </row>
    <row r="31" spans="1:21" ht="18" thickBot="1" x14ac:dyDescent="0.35">
      <c r="S31" s="153"/>
      <c r="T31" s="21" t="s">
        <v>104</v>
      </c>
      <c r="U31" s="150">
        <v>2238.1190476190477</v>
      </c>
    </row>
    <row r="32" spans="1:21" ht="17.25" customHeight="1" x14ac:dyDescent="0.3">
      <c r="H32" s="116"/>
      <c r="I32" s="116"/>
      <c r="J32" s="116"/>
      <c r="K32" s="297" t="s">
        <v>91</v>
      </c>
      <c r="L32" s="297"/>
      <c r="M32" s="297"/>
      <c r="N32" s="116"/>
      <c r="O32" s="244">
        <f>O27+O22</f>
        <v>42432</v>
      </c>
      <c r="P32" s="233"/>
    </row>
    <row r="33" spans="8:21" ht="17.25" customHeight="1" thickBot="1" x14ac:dyDescent="0.35">
      <c r="H33" s="116"/>
      <c r="I33" s="116"/>
      <c r="J33" s="116"/>
      <c r="K33" s="297" t="s">
        <v>92</v>
      </c>
      <c r="L33" s="297"/>
      <c r="M33" s="297"/>
      <c r="N33" s="117">
        <v>0</v>
      </c>
      <c r="O33" s="244">
        <f>O32*N33</f>
        <v>0</v>
      </c>
      <c r="P33" s="233"/>
      <c r="U33" s="6"/>
    </row>
    <row r="34" spans="8:21" ht="19.5" thickBot="1" x14ac:dyDescent="0.35">
      <c r="N34" s="118" t="s">
        <v>93</v>
      </c>
      <c r="O34" s="295">
        <f>O32-O33</f>
        <v>42432</v>
      </c>
      <c r="P34" s="296"/>
      <c r="Q34" s="125"/>
      <c r="R34" s="2"/>
      <c r="U34" s="6"/>
    </row>
    <row r="36" spans="8:21" x14ac:dyDescent="0.3"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</row>
    <row r="38" spans="8:21" ht="18" thickBot="1" x14ac:dyDescent="0.35"/>
    <row r="39" spans="8:21" ht="18.75" x14ac:dyDescent="0.3">
      <c r="H39" s="319" t="s">
        <v>95</v>
      </c>
      <c r="I39" s="320"/>
      <c r="J39" s="321"/>
      <c r="L39" s="3" t="s">
        <v>86</v>
      </c>
    </row>
    <row r="40" spans="8:21" ht="18" thickBot="1" x14ac:dyDescent="0.35">
      <c r="H40" s="322" t="s">
        <v>77</v>
      </c>
      <c r="I40" s="318"/>
      <c r="J40" s="318"/>
      <c r="K40" s="68" t="s">
        <v>79</v>
      </c>
      <c r="L40" s="68" t="s">
        <v>94</v>
      </c>
      <c r="M40" s="68" t="s">
        <v>96</v>
      </c>
      <c r="N40" s="111"/>
      <c r="O40" s="318" t="s">
        <v>5</v>
      </c>
      <c r="P40" s="318"/>
    </row>
    <row r="41" spans="8:21" ht="18" thickBot="1" x14ac:dyDescent="0.35">
      <c r="H41" s="323" t="s">
        <v>83</v>
      </c>
      <c r="I41" s="324"/>
      <c r="J41" s="114"/>
      <c r="K41" s="114"/>
      <c r="L41" s="120"/>
      <c r="M41" s="121" t="s">
        <v>115</v>
      </c>
      <c r="N41" s="122" t="s">
        <v>101</v>
      </c>
      <c r="O41" s="325">
        <f>SUM(O42:P48)</f>
        <v>18331</v>
      </c>
      <c r="P41" s="326"/>
      <c r="S41" s="148" t="s">
        <v>116</v>
      </c>
      <c r="T41" s="18" t="s">
        <v>117</v>
      </c>
      <c r="U41" s="19" t="s">
        <v>118</v>
      </c>
    </row>
    <row r="42" spans="8:21" ht="18" thickBot="1" x14ac:dyDescent="0.35">
      <c r="H42" s="141" t="s">
        <v>109</v>
      </c>
      <c r="I42" s="139"/>
      <c r="J42" s="140"/>
      <c r="K42" s="140" t="s">
        <v>81</v>
      </c>
      <c r="L42" s="140">
        <v>17</v>
      </c>
      <c r="M42" s="142">
        <f>N13</f>
        <v>273</v>
      </c>
      <c r="N42" s="134"/>
      <c r="O42" s="373">
        <f>M42*L42</f>
        <v>4641</v>
      </c>
      <c r="P42" s="373"/>
      <c r="S42" s="154">
        <f>SUM(O44:P46)</f>
        <v>5500</v>
      </c>
      <c r="T42" s="149">
        <f>O50+S42</f>
        <v>14000</v>
      </c>
      <c r="U42" s="154">
        <f>T42/M51</f>
        <v>280</v>
      </c>
    </row>
    <row r="43" spans="8:21" x14ac:dyDescent="0.3">
      <c r="H43" s="344" t="s">
        <v>84</v>
      </c>
      <c r="I43" s="344"/>
      <c r="J43" s="6"/>
      <c r="K43" s="6" t="s">
        <v>81</v>
      </c>
      <c r="L43" s="6">
        <v>30</v>
      </c>
      <c r="M43" s="1">
        <f>N13</f>
        <v>273</v>
      </c>
      <c r="N43" s="107"/>
      <c r="O43" s="246">
        <f t="shared" ref="O43:O48" si="0">M43*L43</f>
        <v>8190</v>
      </c>
      <c r="P43" s="246"/>
    </row>
    <row r="44" spans="8:21" x14ac:dyDescent="0.3">
      <c r="H44" s="4" t="str">
        <f>I5</f>
        <v>Kitchen</v>
      </c>
      <c r="I44" s="4"/>
      <c r="K44" s="1" t="s">
        <v>81</v>
      </c>
      <c r="L44" s="6">
        <v>60</v>
      </c>
      <c r="M44" s="1">
        <f>N5</f>
        <v>0</v>
      </c>
      <c r="N44" s="107"/>
      <c r="O44" s="246">
        <f t="shared" si="0"/>
        <v>0</v>
      </c>
      <c r="P44" s="246"/>
    </row>
    <row r="45" spans="8:21" x14ac:dyDescent="0.3">
      <c r="H45" s="4">
        <f>I6</f>
        <v>0</v>
      </c>
      <c r="I45" s="4"/>
      <c r="K45" s="1" t="s">
        <v>81</v>
      </c>
      <c r="L45" s="6">
        <v>110</v>
      </c>
      <c r="M45" s="1">
        <f>N6</f>
        <v>0</v>
      </c>
      <c r="O45" s="246">
        <f t="shared" si="0"/>
        <v>0</v>
      </c>
      <c r="P45" s="240"/>
    </row>
    <row r="46" spans="8:21" x14ac:dyDescent="0.3">
      <c r="H46" s="4" t="str">
        <f>I4</f>
        <v>Master Bedroom and Bathroom</v>
      </c>
      <c r="I46" s="4"/>
      <c r="K46" s="1" t="s">
        <v>81</v>
      </c>
      <c r="L46" s="6">
        <v>110</v>
      </c>
      <c r="M46" s="1">
        <f>N4</f>
        <v>50</v>
      </c>
      <c r="O46" s="246">
        <f t="shared" si="0"/>
        <v>5500</v>
      </c>
      <c r="P46" s="240"/>
    </row>
    <row r="47" spans="8:21" x14ac:dyDescent="0.3">
      <c r="H47" s="4">
        <f>I8</f>
        <v>0</v>
      </c>
      <c r="I47" s="4"/>
      <c r="K47" s="1" t="s">
        <v>81</v>
      </c>
      <c r="L47" s="6">
        <v>200</v>
      </c>
      <c r="M47" s="1">
        <f>N8</f>
        <v>0</v>
      </c>
      <c r="O47" s="246">
        <f t="shared" si="0"/>
        <v>0</v>
      </c>
      <c r="P47" s="240"/>
    </row>
    <row r="48" spans="8:21" x14ac:dyDescent="0.3">
      <c r="H48" s="4">
        <f>I9</f>
        <v>0</v>
      </c>
      <c r="I48" s="4"/>
      <c r="K48" s="1" t="s">
        <v>81</v>
      </c>
      <c r="L48" s="6">
        <v>200</v>
      </c>
      <c r="M48" s="1">
        <f>N9</f>
        <v>0</v>
      </c>
      <c r="O48" s="244">
        <f t="shared" si="0"/>
        <v>0</v>
      </c>
      <c r="P48" s="244"/>
    </row>
    <row r="49" spans="8:20" ht="18" thickBot="1" x14ac:dyDescent="0.35">
      <c r="H49" s="4"/>
      <c r="I49" s="4"/>
      <c r="L49" s="1" t="s">
        <v>4</v>
      </c>
      <c r="M49" s="1">
        <f>SUM(M43:M45)</f>
        <v>273</v>
      </c>
      <c r="N49" s="1">
        <f>SUM(M44:M48)</f>
        <v>50</v>
      </c>
    </row>
    <row r="50" spans="8:20" ht="18" thickBot="1" x14ac:dyDescent="0.35">
      <c r="H50" s="333" t="s">
        <v>88</v>
      </c>
      <c r="I50" s="334"/>
      <c r="J50" s="110"/>
      <c r="K50" s="110"/>
      <c r="L50" s="110"/>
      <c r="M50" s="123"/>
      <c r="N50" s="123"/>
      <c r="O50" s="325">
        <f>SUM(O51:P54)</f>
        <v>8500</v>
      </c>
      <c r="P50" s="254"/>
    </row>
    <row r="51" spans="8:20" x14ac:dyDescent="0.3">
      <c r="H51" s="341" t="s">
        <v>112</v>
      </c>
      <c r="I51" s="341"/>
      <c r="J51" s="13"/>
      <c r="K51" s="13" t="s">
        <v>81</v>
      </c>
      <c r="L51" s="43">
        <v>170</v>
      </c>
      <c r="M51" s="13">
        <f>SUM(M44:M48)</f>
        <v>50</v>
      </c>
      <c r="N51" s="115"/>
      <c r="O51" s="342">
        <f>M51*L51</f>
        <v>8500</v>
      </c>
      <c r="P51" s="343"/>
    </row>
    <row r="52" spans="8:20" x14ac:dyDescent="0.3">
      <c r="H52" s="272" t="s">
        <v>90</v>
      </c>
      <c r="I52" s="272"/>
      <c r="J52" s="49"/>
      <c r="K52" s="49" t="s">
        <v>81</v>
      </c>
      <c r="L52" s="51">
        <v>0</v>
      </c>
      <c r="M52" s="49">
        <f>SUM(M44:M48)</f>
        <v>50</v>
      </c>
      <c r="N52" s="109"/>
      <c r="O52" s="273">
        <f>M52*L52</f>
        <v>0</v>
      </c>
      <c r="P52" s="274"/>
    </row>
    <row r="53" spans="8:20" x14ac:dyDescent="0.3">
      <c r="H53" s="4" t="s">
        <v>111</v>
      </c>
      <c r="I53" s="4"/>
      <c r="K53" s="1" t="s">
        <v>81</v>
      </c>
      <c r="L53" s="6">
        <v>0</v>
      </c>
      <c r="M53" s="1">
        <v>0</v>
      </c>
      <c r="N53" s="107"/>
      <c r="O53" s="345">
        <f>M53*L53</f>
        <v>0</v>
      </c>
      <c r="P53" s="345"/>
    </row>
    <row r="54" spans="8:20" x14ac:dyDescent="0.3">
      <c r="H54" s="128" t="s">
        <v>102</v>
      </c>
      <c r="I54" s="4"/>
      <c r="K54" s="1" t="s">
        <v>81</v>
      </c>
      <c r="L54" s="6">
        <v>0</v>
      </c>
      <c r="M54" s="1">
        <v>0</v>
      </c>
      <c r="N54" s="107"/>
      <c r="O54" s="345">
        <f>M54*L54</f>
        <v>0</v>
      </c>
      <c r="P54" s="345"/>
    </row>
    <row r="55" spans="8:20" x14ac:dyDescent="0.3">
      <c r="O55" s="340"/>
      <c r="P55" s="340"/>
    </row>
    <row r="56" spans="8:20" ht="18" x14ac:dyDescent="0.3">
      <c r="H56" s="116"/>
      <c r="I56" s="116"/>
      <c r="J56" s="116"/>
      <c r="K56" s="297" t="s">
        <v>91</v>
      </c>
      <c r="L56" s="297"/>
      <c r="M56" s="297"/>
      <c r="N56" s="116"/>
      <c r="O56" s="244">
        <f>O50+O41</f>
        <v>26831</v>
      </c>
      <c r="P56" s="233"/>
    </row>
    <row r="57" spans="8:20" ht="18.75" thickBot="1" x14ac:dyDescent="0.35">
      <c r="H57" s="116"/>
      <c r="I57" s="116"/>
      <c r="J57" s="116"/>
      <c r="K57" s="297" t="s">
        <v>92</v>
      </c>
      <c r="L57" s="297"/>
      <c r="M57" s="297"/>
      <c r="N57" s="117">
        <v>0</v>
      </c>
      <c r="O57" s="244">
        <f>O56*N57</f>
        <v>0</v>
      </c>
      <c r="P57" s="233"/>
    </row>
    <row r="58" spans="8:20" ht="19.5" thickBot="1" x14ac:dyDescent="0.35">
      <c r="N58" s="118" t="s">
        <v>93</v>
      </c>
      <c r="O58" s="295">
        <f>O56-O57</f>
        <v>26831</v>
      </c>
      <c r="P58" s="296"/>
      <c r="S58" s="6"/>
      <c r="T58" s="5"/>
    </row>
    <row r="59" spans="8:20" x14ac:dyDescent="0.3">
      <c r="S59" s="127"/>
      <c r="T59" s="127"/>
    </row>
    <row r="67" spans="8:32" ht="18" thickBot="1" x14ac:dyDescent="0.35"/>
    <row r="68" spans="8:32" ht="19.5" thickBot="1" x14ac:dyDescent="0.35">
      <c r="H68" s="32" t="s">
        <v>41</v>
      </c>
      <c r="I68" s="18"/>
      <c r="J68" s="18"/>
      <c r="K68" s="19"/>
      <c r="M68" s="5">
        <v>9</v>
      </c>
    </row>
    <row r="69" spans="8:32" ht="18" thickBot="1" x14ac:dyDescent="0.35">
      <c r="H69" s="22" t="s">
        <v>42</v>
      </c>
      <c r="I69" s="23" t="s">
        <v>43</v>
      </c>
      <c r="J69" s="28"/>
      <c r="K69" s="11" t="s">
        <v>5</v>
      </c>
      <c r="L69" s="107" t="s">
        <v>80</v>
      </c>
      <c r="M69" s="1" t="s">
        <v>106</v>
      </c>
      <c r="N69" s="132" t="s">
        <v>25</v>
      </c>
      <c r="T69" s="1" t="s">
        <v>144</v>
      </c>
    </row>
    <row r="70" spans="8:32" ht="18" thickBot="1" x14ac:dyDescent="0.35">
      <c r="H70" s="24">
        <v>686</v>
      </c>
      <c r="I70" s="25">
        <v>5.5</v>
      </c>
      <c r="J70" s="29"/>
      <c r="K70" s="31">
        <f>I70*H70</f>
        <v>3773</v>
      </c>
      <c r="L70" s="131">
        <f>Employees!J19</f>
        <v>672</v>
      </c>
      <c r="M70" s="6">
        <f>L70*M68</f>
        <v>6048</v>
      </c>
      <c r="N70" s="133">
        <f>M70+K70</f>
        <v>9821</v>
      </c>
    </row>
    <row r="71" spans="8:32" ht="18" thickBot="1" x14ac:dyDescent="0.35">
      <c r="T71" s="37" t="s">
        <v>47</v>
      </c>
      <c r="U71" s="38">
        <f>P10</f>
        <v>400000</v>
      </c>
    </row>
    <row r="72" spans="8:32" ht="18" thickBot="1" x14ac:dyDescent="0.35">
      <c r="H72" s="360" t="s">
        <v>26</v>
      </c>
      <c r="I72" s="360"/>
      <c r="J72" s="360"/>
      <c r="K72" s="360"/>
      <c r="L72" s="360"/>
      <c r="M72" s="360"/>
      <c r="T72" s="1" t="s">
        <v>142</v>
      </c>
      <c r="U72" s="1" t="s">
        <v>143</v>
      </c>
    </row>
    <row r="73" spans="8:32" ht="18" thickBot="1" x14ac:dyDescent="0.35">
      <c r="H73" s="361" t="s">
        <v>27</v>
      </c>
      <c r="I73" s="361" t="s">
        <v>28</v>
      </c>
      <c r="J73" s="361"/>
      <c r="K73" s="361" t="s">
        <v>29</v>
      </c>
      <c r="L73" s="361" t="s">
        <v>30</v>
      </c>
      <c r="M73" s="361"/>
      <c r="V73"/>
      <c r="W73" s="39" t="s">
        <v>48</v>
      </c>
      <c r="X73" s="39"/>
      <c r="Y73" s="40" t="s">
        <v>49</v>
      </c>
      <c r="Z73" s="39" t="s">
        <v>50</v>
      </c>
      <c r="AA73" s="39" t="s">
        <v>51</v>
      </c>
      <c r="AB73" s="39" t="s">
        <v>52</v>
      </c>
      <c r="AD73" s="39" t="s">
        <v>53</v>
      </c>
      <c r="AE73"/>
      <c r="AF73"/>
    </row>
    <row r="74" spans="8:32" ht="18" thickBot="1" x14ac:dyDescent="0.35">
      <c r="H74" s="361"/>
      <c r="I74" s="14"/>
      <c r="J74" s="14"/>
      <c r="K74" s="361"/>
      <c r="L74" s="14"/>
      <c r="M74" s="14"/>
      <c r="V74"/>
      <c r="W74" s="103" t="s">
        <v>54</v>
      </c>
      <c r="X74" s="13" t="s">
        <v>55</v>
      </c>
      <c r="Y74" s="42">
        <v>0.4</v>
      </c>
      <c r="Z74" s="43">
        <f>U80*Y74</f>
        <v>33890.112719999997</v>
      </c>
      <c r="AA74" s="44">
        <v>0</v>
      </c>
      <c r="AB74" s="45">
        <f>Z74-AF74</f>
        <v>33890.112719999997</v>
      </c>
      <c r="AD74" s="46" t="s">
        <v>23</v>
      </c>
      <c r="AE74"/>
      <c r="AF74" s="47">
        <f>Z74*AA74</f>
        <v>0</v>
      </c>
    </row>
    <row r="75" spans="8:32" ht="18" thickBot="1" x14ac:dyDescent="0.35">
      <c r="H75" s="361"/>
      <c r="I75" s="14" t="s">
        <v>31</v>
      </c>
      <c r="J75" s="14" t="s">
        <v>32</v>
      </c>
      <c r="K75" s="361"/>
      <c r="L75" s="14" t="s">
        <v>33</v>
      </c>
      <c r="M75" s="14" t="s">
        <v>34</v>
      </c>
      <c r="T75" s="358" t="s">
        <v>56</v>
      </c>
      <c r="U75" s="359"/>
      <c r="V75"/>
      <c r="W75" s="101" t="s">
        <v>57</v>
      </c>
      <c r="X75" s="49" t="s">
        <v>58</v>
      </c>
      <c r="Y75" s="50">
        <v>0.2</v>
      </c>
      <c r="Z75" s="51">
        <f>U80*Y75</f>
        <v>16945.056359999999</v>
      </c>
      <c r="AA75" s="52">
        <v>0</v>
      </c>
      <c r="AB75" s="53">
        <f>Z75-AF75</f>
        <v>16945.056359999999</v>
      </c>
      <c r="AD75" s="54" t="s">
        <v>23</v>
      </c>
      <c r="AE75"/>
      <c r="AF75" s="55">
        <f>Z75*AA75</f>
        <v>0</v>
      </c>
    </row>
    <row r="76" spans="8:32" x14ac:dyDescent="0.3">
      <c r="H76" s="361"/>
      <c r="I76" s="14" t="s">
        <v>35</v>
      </c>
      <c r="J76" s="14" t="s">
        <v>36</v>
      </c>
      <c r="K76" s="14" t="s">
        <v>37</v>
      </c>
      <c r="L76" s="14" t="s">
        <v>38</v>
      </c>
      <c r="M76" s="14" t="s">
        <v>39</v>
      </c>
      <c r="T76" s="41" t="s">
        <v>29</v>
      </c>
      <c r="U76" s="45">
        <f>IF(U72="Medium",IF($U$71&gt;J96,IF($U$71&gt;J97,IF($U$71&gt;J98,IF($U$71&gt;J99,IF($U$71&gt;J100,IF($U$71&gt;J101,IF($U$71&gt;J102,IF($U$71&gt;J103,IF($U$71&gt;J104,IF($U$71&gt;J105,IF($U$71&gt;J106,K107,K106),K105),K104),K103),K102),K101),100),K99),K98),K97),K96),IF($U$71&gt;J77,IF($U$71&gt;J78,IF($U$71&gt;J79,IF($U$71&gt;J80,IF($U$71&gt;J81,IF($U$71&gt;J82,IF($U$71&gt;J83,IF($U$71&gt;J84,IF($U$71&gt;J85,IF($U$71&gt;J86,IF($U$71&gt;J87,K88,K87),K85),K84),K83),K82),K81),100),K80),K79),K78),K77))</f>
        <v>49085.46</v>
      </c>
      <c r="V76"/>
      <c r="W76" s="101" t="s">
        <v>75</v>
      </c>
      <c r="X76" s="49" t="s">
        <v>59</v>
      </c>
      <c r="Y76" s="50">
        <v>0.1</v>
      </c>
      <c r="Z76" s="51">
        <f>U80*Y76</f>
        <v>8472.5281799999993</v>
      </c>
      <c r="AA76" s="52">
        <v>0</v>
      </c>
      <c r="AB76" s="53">
        <f>Z76-AF76</f>
        <v>8472.5281799999993</v>
      </c>
      <c r="AD76" s="54" t="s">
        <v>60</v>
      </c>
      <c r="AE76"/>
      <c r="AF76" s="55">
        <f>Z76*AA76</f>
        <v>0</v>
      </c>
    </row>
    <row r="77" spans="8:32" ht="18" thickBot="1" x14ac:dyDescent="0.35">
      <c r="H77" s="15">
        <v>1</v>
      </c>
      <c r="I77" s="16">
        <v>1</v>
      </c>
      <c r="J77" s="16">
        <v>200000</v>
      </c>
      <c r="K77" s="16">
        <v>13970.41</v>
      </c>
      <c r="L77" s="17">
        <v>0.21590000000000001</v>
      </c>
      <c r="M77" s="16">
        <f>I77</f>
        <v>1</v>
      </c>
      <c r="T77" s="48" t="s">
        <v>61</v>
      </c>
      <c r="U77" s="53">
        <f>IF($U$72="Medium",($U$71-(VLOOKUP(U76,K96:M107,3,FALSE)))*(VLOOKUP(U76,K96:M107,2,FALSE)),($U$71-(VLOOKUP(U76,K77:M88,3,FALSE)))*(VLOOKUP(U76,K77:M88,2,FALSE)))</f>
        <v>35639.821799999998</v>
      </c>
      <c r="V77"/>
      <c r="W77" s="102" t="s">
        <v>62</v>
      </c>
      <c r="X77" s="26" t="s">
        <v>63</v>
      </c>
      <c r="Y77" s="57">
        <v>0.3</v>
      </c>
      <c r="Z77" s="25">
        <f>U80*Y77</f>
        <v>25417.58454</v>
      </c>
      <c r="AA77" s="58">
        <v>0</v>
      </c>
      <c r="AB77" s="27">
        <f>Z77-AF77</f>
        <v>25417.58454</v>
      </c>
      <c r="AD77" s="59" t="s">
        <v>60</v>
      </c>
      <c r="AE77"/>
      <c r="AF77" s="60">
        <f>Z77*AA77</f>
        <v>0</v>
      </c>
    </row>
    <row r="78" spans="8:32" ht="18" thickBot="1" x14ac:dyDescent="0.35">
      <c r="H78" s="15">
        <v>2</v>
      </c>
      <c r="I78" s="16">
        <v>200001</v>
      </c>
      <c r="J78" s="16">
        <v>650000</v>
      </c>
      <c r="K78" s="16">
        <v>57145.33</v>
      </c>
      <c r="L78" s="17">
        <v>0.20749999999999999</v>
      </c>
      <c r="M78" s="16">
        <f t="shared" ref="M78:M86" si="1">I78</f>
        <v>200001</v>
      </c>
      <c r="T78" s="48"/>
      <c r="U78" s="53">
        <f>U76+U77</f>
        <v>84725.281799999997</v>
      </c>
      <c r="V78"/>
      <c r="AE78"/>
      <c r="AF78"/>
    </row>
    <row r="79" spans="8:32" ht="18" thickBot="1" x14ac:dyDescent="0.35">
      <c r="H79" s="15">
        <v>3</v>
      </c>
      <c r="I79" s="16">
        <v>650001</v>
      </c>
      <c r="J79" s="16">
        <v>2000000</v>
      </c>
      <c r="K79" s="16">
        <v>150513.35999999999</v>
      </c>
      <c r="L79" s="17">
        <v>0.153</v>
      </c>
      <c r="M79" s="16">
        <f t="shared" si="1"/>
        <v>650001</v>
      </c>
      <c r="T79" s="56" t="s">
        <v>64</v>
      </c>
      <c r="U79" s="61">
        <v>0</v>
      </c>
      <c r="V79"/>
      <c r="W79" s="347" t="s">
        <v>65</v>
      </c>
      <c r="X79" s="348"/>
      <c r="Y79" s="66"/>
      <c r="Z79" s="62">
        <f>SUM(Z74:Z77)</f>
        <v>84725.281799999997</v>
      </c>
      <c r="AA79" s="56"/>
      <c r="AB79" s="26"/>
      <c r="AE79"/>
      <c r="AF79"/>
    </row>
    <row r="80" spans="8:32" ht="18" thickBot="1" x14ac:dyDescent="0.35">
      <c r="H80" s="15">
        <v>4</v>
      </c>
      <c r="I80" s="16">
        <v>2000001</v>
      </c>
      <c r="J80" s="16">
        <v>4000000</v>
      </c>
      <c r="K80" s="16">
        <v>357120.69</v>
      </c>
      <c r="L80" s="17">
        <v>0.13339999999999999</v>
      </c>
      <c r="M80" s="16">
        <f t="shared" si="1"/>
        <v>2000001</v>
      </c>
      <c r="T80" s="65" t="s">
        <v>66</v>
      </c>
      <c r="U80" s="63">
        <f>U78+U79</f>
        <v>84725.281799999997</v>
      </c>
      <c r="V80"/>
      <c r="W80" s="39" t="s">
        <v>67</v>
      </c>
      <c r="X80" s="9"/>
      <c r="Y80" s="9"/>
      <c r="Z80" s="9"/>
      <c r="AA80" s="10" t="s">
        <v>68</v>
      </c>
      <c r="AB80" s="64">
        <f>SUM(AB74:AB77)</f>
        <v>84725.281799999997</v>
      </c>
      <c r="AE80"/>
      <c r="AF80"/>
    </row>
    <row r="81" spans="8:21" x14ac:dyDescent="0.3">
      <c r="H81" s="15">
        <v>5</v>
      </c>
      <c r="I81" s="16">
        <v>4000001</v>
      </c>
      <c r="J81" s="16">
        <v>6500000</v>
      </c>
      <c r="K81" s="16">
        <v>623958.89</v>
      </c>
      <c r="L81" s="17">
        <v>0.12989999999999999</v>
      </c>
      <c r="M81" s="16">
        <f t="shared" si="1"/>
        <v>4000001</v>
      </c>
    </row>
    <row r="82" spans="8:21" x14ac:dyDescent="0.3">
      <c r="H82" s="15">
        <v>6</v>
      </c>
      <c r="I82" s="16">
        <v>6500001</v>
      </c>
      <c r="J82" s="16">
        <v>13000000</v>
      </c>
      <c r="K82" s="16">
        <v>948762.87</v>
      </c>
      <c r="L82" s="17">
        <v>0.1128</v>
      </c>
      <c r="M82" s="16">
        <f t="shared" si="1"/>
        <v>6500001</v>
      </c>
    </row>
    <row r="83" spans="8:21" x14ac:dyDescent="0.3">
      <c r="H83" s="15">
        <v>7</v>
      </c>
      <c r="I83" s="16">
        <v>13000001</v>
      </c>
      <c r="J83" s="16">
        <v>40000000</v>
      </c>
      <c r="K83" s="16">
        <v>1681745.3</v>
      </c>
      <c r="L83" s="17">
        <v>0.109</v>
      </c>
      <c r="M83" s="16">
        <f t="shared" si="1"/>
        <v>13000001</v>
      </c>
    </row>
    <row r="84" spans="8:21" x14ac:dyDescent="0.3">
      <c r="H84" s="15">
        <v>8</v>
      </c>
      <c r="I84" s="16">
        <v>40000001</v>
      </c>
      <c r="J84" s="16">
        <v>130000000</v>
      </c>
      <c r="K84" s="16">
        <v>4625768.63</v>
      </c>
      <c r="L84" s="17">
        <v>0.109</v>
      </c>
      <c r="M84" s="16">
        <f t="shared" si="1"/>
        <v>40000001</v>
      </c>
    </row>
    <row r="85" spans="8:21" x14ac:dyDescent="0.3">
      <c r="H85" s="15">
        <v>9</v>
      </c>
      <c r="I85" s="16">
        <v>130000001</v>
      </c>
      <c r="J85" s="16">
        <v>260000000</v>
      </c>
      <c r="K85" s="16">
        <v>14433043.09</v>
      </c>
      <c r="L85" s="17">
        <v>0.1019</v>
      </c>
      <c r="M85" s="16">
        <f t="shared" si="1"/>
        <v>130000001</v>
      </c>
    </row>
    <row r="86" spans="8:21" x14ac:dyDescent="0.3">
      <c r="H86" s="15">
        <v>10</v>
      </c>
      <c r="I86" s="16">
        <v>260000001</v>
      </c>
      <c r="J86" s="16">
        <v>520000000</v>
      </c>
      <c r="K86" s="16">
        <v>27684662.760000002</v>
      </c>
      <c r="L86" s="17">
        <v>9.9599999999999994E-2</v>
      </c>
      <c r="M86" s="16">
        <f t="shared" si="1"/>
        <v>260000001</v>
      </c>
    </row>
    <row r="87" spans="8:21" x14ac:dyDescent="0.3">
      <c r="H87" s="15">
        <v>11</v>
      </c>
      <c r="I87" s="16">
        <v>520000001</v>
      </c>
      <c r="J87" s="16">
        <v>1040000000</v>
      </c>
      <c r="K87" s="16">
        <v>53583218.25</v>
      </c>
      <c r="L87" s="17">
        <v>9.7100000000000006E-2</v>
      </c>
      <c r="M87" s="16">
        <f>I87</f>
        <v>520000001</v>
      </c>
    </row>
    <row r="88" spans="8:21" x14ac:dyDescent="0.3">
      <c r="H88" s="15">
        <v>12</v>
      </c>
      <c r="I88" s="16">
        <v>1040000001</v>
      </c>
      <c r="J88" s="16"/>
      <c r="K88" s="16">
        <v>104063453.52</v>
      </c>
      <c r="L88" s="17">
        <v>8.9800000000000005E-2</v>
      </c>
      <c r="M88" s="16">
        <f>I88</f>
        <v>1040000001</v>
      </c>
      <c r="S88" s="1" t="s">
        <v>145</v>
      </c>
      <c r="T88" s="6">
        <f>IF($U$71&gt;J77,IF($U$71&gt;J78,IF($U$71&gt;J79,IF($U$71&gt;J80,IF($U$71&gt;J81,IF($U$71&gt;J82,IF($U$71&gt;J83,IF($U$71&gt;J84,IF($U$71&gt;J85,IF($U$71&gt;J86,IF($U$71&gt;J87,K88,K87),K85),K84),K83),K82),K81),100),K80),K79),K78),K77)</f>
        <v>57145.33</v>
      </c>
      <c r="U88" s="167">
        <f>VLOOKUP(T88,K77:M88,2,FALSE)</f>
        <v>0.20749999999999999</v>
      </c>
    </row>
    <row r="89" spans="8:21" x14ac:dyDescent="0.3">
      <c r="U89" s="1">
        <f>VLOOKUP(T88,K77:M88,3,FALSE)</f>
        <v>200001</v>
      </c>
    </row>
    <row r="90" spans="8:21" x14ac:dyDescent="0.3">
      <c r="U90" s="6">
        <f>(U71-U89)*U88</f>
        <v>41499.792499999996</v>
      </c>
    </row>
    <row r="91" spans="8:21" x14ac:dyDescent="0.3">
      <c r="H91" s="69" t="s">
        <v>76</v>
      </c>
      <c r="I91" s="69"/>
      <c r="J91" s="69"/>
      <c r="K91" s="69"/>
      <c r="L91" s="69"/>
      <c r="M91" s="69"/>
    </row>
    <row r="92" spans="8:21" x14ac:dyDescent="0.3">
      <c r="H92" s="14" t="s">
        <v>27</v>
      </c>
      <c r="I92" s="14" t="s">
        <v>28</v>
      </c>
      <c r="J92" s="14"/>
      <c r="K92" s="14" t="s">
        <v>29</v>
      </c>
      <c r="L92" s="14" t="s">
        <v>30</v>
      </c>
      <c r="M92" s="14"/>
      <c r="T92" s="6">
        <f>IF($U$71&gt;J96,IF($U$71&gt;J97,IF($U$71&gt;J98,IF($U$71&gt;J99,IF($U$71&gt;J100,IF($U$71&gt;J101,IF($U$71&gt;J102,IF($U$71&gt;J103,IF($U$71&gt;J104,IF($U$71&gt;J105,IF($U$71&gt;J106,K107,K106),K105),K104),K103),K102),K101),100),K99),K98),K97),K96)</f>
        <v>49085.46</v>
      </c>
      <c r="U92" s="167">
        <f>VLOOKUP(T92,K96:M107,2,FALSE)</f>
        <v>0.1782</v>
      </c>
    </row>
    <row r="93" spans="8:21" x14ac:dyDescent="0.3">
      <c r="H93" s="14"/>
      <c r="I93" s="14"/>
      <c r="J93" s="14"/>
      <c r="K93" s="14"/>
      <c r="L93" s="14"/>
      <c r="M93" s="14"/>
      <c r="U93" s="1">
        <f>VLOOKUP(T92,K96:M107,3,FALSE)</f>
        <v>200001</v>
      </c>
    </row>
    <row r="94" spans="8:21" x14ac:dyDescent="0.3">
      <c r="H94" s="14"/>
      <c r="I94" s="14" t="s">
        <v>31</v>
      </c>
      <c r="J94" s="14" t="s">
        <v>32</v>
      </c>
      <c r="K94" s="14"/>
      <c r="L94" s="14" t="s">
        <v>33</v>
      </c>
      <c r="M94" s="14" t="s">
        <v>34</v>
      </c>
      <c r="U94" s="6">
        <f>(U71-U93)*U92</f>
        <v>35639.821799999998</v>
      </c>
    </row>
    <row r="95" spans="8:21" x14ac:dyDescent="0.3">
      <c r="H95" s="14"/>
      <c r="I95" s="14" t="s">
        <v>35</v>
      </c>
      <c r="J95" s="14" t="s">
        <v>36</v>
      </c>
      <c r="K95" s="14" t="s">
        <v>37</v>
      </c>
      <c r="L95" s="14" t="s">
        <v>38</v>
      </c>
      <c r="M95" s="14" t="s">
        <v>39</v>
      </c>
    </row>
    <row r="96" spans="8:21" x14ac:dyDescent="0.3">
      <c r="H96" s="15">
        <v>1</v>
      </c>
      <c r="I96" s="16">
        <v>1</v>
      </c>
      <c r="J96" s="16">
        <v>200000</v>
      </c>
      <c r="K96" s="104">
        <v>12000</v>
      </c>
      <c r="L96" s="17">
        <v>0.18540000000000001</v>
      </c>
      <c r="M96" s="16">
        <f>I96</f>
        <v>1</v>
      </c>
      <c r="T96" s="6"/>
      <c r="U96" s="6">
        <f>IF($U$72="Medium",($U$71-(VLOOKUP(U76,K96:M107,3,FALSE)))*(VLOOKUP(U76,K96:M107,2,FALSE)),($U$71-(VLOOKUP(U76,K77:M88,3,FALSE)))*(VLOOKUP(U76,K77:M88,2,FALSE)))</f>
        <v>35639.821799999998</v>
      </c>
    </row>
    <row r="97" spans="8:21" x14ac:dyDescent="0.3">
      <c r="H97" s="15">
        <v>2</v>
      </c>
      <c r="I97" s="16">
        <v>200001</v>
      </c>
      <c r="J97" s="16">
        <v>650000</v>
      </c>
      <c r="K97" s="104">
        <v>49085.46</v>
      </c>
      <c r="L97" s="17">
        <v>0.1782</v>
      </c>
      <c r="M97" s="16">
        <f t="shared" ref="M97:M105" si="2">I97</f>
        <v>200001</v>
      </c>
    </row>
    <row r="98" spans="8:21" x14ac:dyDescent="0.3">
      <c r="H98" s="15">
        <v>3</v>
      </c>
      <c r="I98" s="16">
        <v>650001</v>
      </c>
      <c r="J98" s="16">
        <v>2000000</v>
      </c>
      <c r="K98" s="104">
        <v>129284.7</v>
      </c>
      <c r="L98" s="17">
        <v>0.13150000000000001</v>
      </c>
      <c r="M98" s="16">
        <f t="shared" si="2"/>
        <v>650001</v>
      </c>
    </row>
    <row r="99" spans="8:21" x14ac:dyDescent="0.3">
      <c r="H99" s="15">
        <v>4</v>
      </c>
      <c r="I99" s="16">
        <v>2000001</v>
      </c>
      <c r="J99" s="16">
        <v>4000000</v>
      </c>
      <c r="K99" s="104">
        <v>306751.8</v>
      </c>
      <c r="L99" s="17">
        <v>0.11459999999999999</v>
      </c>
      <c r="M99" s="16">
        <f t="shared" si="2"/>
        <v>2000001</v>
      </c>
    </row>
    <row r="100" spans="8:21" x14ac:dyDescent="0.3">
      <c r="H100" s="15">
        <v>5</v>
      </c>
      <c r="I100" s="16">
        <v>4000001</v>
      </c>
      <c r="J100" s="16">
        <v>6500000</v>
      </c>
      <c r="K100" s="104">
        <v>535954.68999999994</v>
      </c>
      <c r="L100" s="17">
        <v>0.1116</v>
      </c>
      <c r="M100" s="16">
        <f t="shared" si="2"/>
        <v>4000001</v>
      </c>
      <c r="S100" s="1" t="s">
        <v>145</v>
      </c>
      <c r="T100" s="1" t="s">
        <v>69</v>
      </c>
      <c r="U100" s="67">
        <f>(U71-M97)*L97</f>
        <v>35639.821799999998</v>
      </c>
    </row>
    <row r="101" spans="8:21" x14ac:dyDescent="0.3">
      <c r="H101" s="15">
        <v>6</v>
      </c>
      <c r="I101" s="16">
        <v>6500001</v>
      </c>
      <c r="J101" s="16">
        <v>13000000</v>
      </c>
      <c r="K101" s="104">
        <v>814947.78</v>
      </c>
      <c r="L101" s="17">
        <v>9.69E-2</v>
      </c>
      <c r="M101" s="16">
        <f t="shared" si="2"/>
        <v>6500001</v>
      </c>
      <c r="T101" s="156" t="s">
        <v>70</v>
      </c>
      <c r="U101" s="100"/>
    </row>
    <row r="102" spans="8:21" x14ac:dyDescent="0.3">
      <c r="H102" s="15">
        <v>7</v>
      </c>
      <c r="I102" s="16">
        <v>13000001</v>
      </c>
      <c r="J102" s="16">
        <v>40000000</v>
      </c>
      <c r="K102" s="104">
        <v>1444549.16</v>
      </c>
      <c r="L102" s="17">
        <v>9.3700000000000006E-2</v>
      </c>
      <c r="M102" s="16">
        <f t="shared" si="2"/>
        <v>13000001</v>
      </c>
      <c r="T102" s="156"/>
    </row>
    <row r="103" spans="8:21" x14ac:dyDescent="0.3">
      <c r="H103" s="15">
        <v>8</v>
      </c>
      <c r="I103" s="16">
        <v>40000001</v>
      </c>
      <c r="J103" s="16">
        <v>130000000</v>
      </c>
      <c r="K103" s="104">
        <v>3973342.57</v>
      </c>
      <c r="L103" s="17">
        <v>9.3600000000000003E-2</v>
      </c>
      <c r="M103" s="16">
        <f t="shared" si="2"/>
        <v>40000001</v>
      </c>
    </row>
    <row r="104" spans="8:21" x14ac:dyDescent="0.3">
      <c r="H104" s="15">
        <v>9</v>
      </c>
      <c r="I104" s="16">
        <v>130000001</v>
      </c>
      <c r="J104" s="16">
        <v>260000000</v>
      </c>
      <c r="K104" s="104">
        <v>12397382.810000001</v>
      </c>
      <c r="L104" s="17">
        <v>8.7599999999999997E-2</v>
      </c>
      <c r="M104" s="16">
        <f t="shared" si="2"/>
        <v>130000001</v>
      </c>
    </row>
    <row r="105" spans="8:21" x14ac:dyDescent="0.3">
      <c r="H105" s="15">
        <v>10</v>
      </c>
      <c r="I105" s="16">
        <v>260000001</v>
      </c>
      <c r="J105" s="16">
        <v>520000000</v>
      </c>
      <c r="K105" s="104">
        <v>23779972.129999999</v>
      </c>
      <c r="L105" s="17">
        <v>8.5599999999999996E-2</v>
      </c>
      <c r="M105" s="16">
        <f t="shared" si="2"/>
        <v>260000001</v>
      </c>
    </row>
    <row r="106" spans="8:21" x14ac:dyDescent="0.3">
      <c r="H106" s="15">
        <v>11</v>
      </c>
      <c r="I106" s="16">
        <v>520000001</v>
      </c>
      <c r="J106" s="16">
        <v>1040000000</v>
      </c>
      <c r="K106" s="16">
        <v>53583218.25</v>
      </c>
      <c r="L106" s="17">
        <v>9.7100000000000006E-2</v>
      </c>
      <c r="M106" s="16">
        <f t="shared" ref="M106:M107" si="3">I106</f>
        <v>520000001</v>
      </c>
    </row>
    <row r="107" spans="8:21" x14ac:dyDescent="0.3">
      <c r="H107" s="15">
        <v>12</v>
      </c>
      <c r="I107" s="16">
        <v>1040000001</v>
      </c>
      <c r="J107" s="16"/>
      <c r="K107" s="16">
        <v>104063453.52</v>
      </c>
      <c r="L107" s="17">
        <v>8.9800000000000005E-2</v>
      </c>
      <c r="M107" s="16">
        <f t="shared" si="3"/>
        <v>1040000001</v>
      </c>
    </row>
  </sheetData>
  <mergeCells count="74">
    <mergeCell ref="H40:J40"/>
    <mergeCell ref="O40:P40"/>
    <mergeCell ref="H41:I41"/>
    <mergeCell ref="O41:P41"/>
    <mergeCell ref="O42:P42"/>
    <mergeCell ref="E22:F22"/>
    <mergeCell ref="E23:F23"/>
    <mergeCell ref="A19:E19"/>
    <mergeCell ref="A21:D21"/>
    <mergeCell ref="A20:D20"/>
    <mergeCell ref="C22:D22"/>
    <mergeCell ref="A2:E17"/>
    <mergeCell ref="T75:U75"/>
    <mergeCell ref="O21:P21"/>
    <mergeCell ref="O22:P22"/>
    <mergeCell ref="H20:J20"/>
    <mergeCell ref="H72:M72"/>
    <mergeCell ref="H73:H76"/>
    <mergeCell ref="I73:J73"/>
    <mergeCell ref="K73:K75"/>
    <mergeCell ref="L73:M73"/>
    <mergeCell ref="H3:K3"/>
    <mergeCell ref="A18:E18"/>
    <mergeCell ref="L3:M3"/>
    <mergeCell ref="N3:O3"/>
    <mergeCell ref="P3:R3"/>
    <mergeCell ref="C23:D23"/>
    <mergeCell ref="W79:X79"/>
    <mergeCell ref="A26:C26"/>
    <mergeCell ref="A27:C27"/>
    <mergeCell ref="A28:C28"/>
    <mergeCell ref="A29:C29"/>
    <mergeCell ref="O32:P32"/>
    <mergeCell ref="O33:P33"/>
    <mergeCell ref="O34:P34"/>
    <mergeCell ref="K32:M32"/>
    <mergeCell ref="K33:M33"/>
    <mergeCell ref="H43:I43"/>
    <mergeCell ref="O43:P43"/>
    <mergeCell ref="H50:I50"/>
    <mergeCell ref="O50:P50"/>
    <mergeCell ref="H39:J39"/>
    <mergeCell ref="O30:P30"/>
    <mergeCell ref="H2:I2"/>
    <mergeCell ref="H27:I27"/>
    <mergeCell ref="H28:I28"/>
    <mergeCell ref="H29:I29"/>
    <mergeCell ref="O27:P27"/>
    <mergeCell ref="O28:P28"/>
    <mergeCell ref="O29:P29"/>
    <mergeCell ref="H21:J21"/>
    <mergeCell ref="H25:I25"/>
    <mergeCell ref="H24:I24"/>
    <mergeCell ref="O24:P24"/>
    <mergeCell ref="O25:P25"/>
    <mergeCell ref="H22:I22"/>
    <mergeCell ref="O23:P23"/>
    <mergeCell ref="H51:I51"/>
    <mergeCell ref="O51:P51"/>
    <mergeCell ref="H52:I52"/>
    <mergeCell ref="O52:P52"/>
    <mergeCell ref="K56:M56"/>
    <mergeCell ref="O56:P56"/>
    <mergeCell ref="O53:P53"/>
    <mergeCell ref="O55:P55"/>
    <mergeCell ref="O54:P54"/>
    <mergeCell ref="K57:M57"/>
    <mergeCell ref="O57:P57"/>
    <mergeCell ref="O58:P58"/>
    <mergeCell ref="O44:P44"/>
    <mergeCell ref="O45:P45"/>
    <mergeCell ref="O46:P46"/>
    <mergeCell ref="O47:P47"/>
    <mergeCell ref="O48:P48"/>
  </mergeCells>
  <dataValidations disablePrompts="1" count="1">
    <dataValidation type="list" allowBlank="1" showInputMessage="1" showErrorMessage="1" sqref="U72" xr:uid="{03750D31-ED8A-45CA-85DB-AA99AA3D6CE0}">
      <formula1>"Medium,Hard"</formula1>
    </dataValidation>
  </dataValidation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Employees</vt:lpstr>
      <vt:lpstr>Allocations</vt:lpstr>
      <vt:lpstr>Fees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THOR</cp:lastModifiedBy>
  <cp:lastPrinted>2022-09-21T07:15:25Z</cp:lastPrinted>
  <dcterms:created xsi:type="dcterms:W3CDTF">2022-07-11T17:42:49Z</dcterms:created>
  <dcterms:modified xsi:type="dcterms:W3CDTF">2023-01-24T15:09:23Z</dcterms:modified>
</cp:coreProperties>
</file>