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KAW Developers - Pieter Oosthuizen\Erf 3392\"/>
    </mc:Choice>
  </mc:AlternateContent>
  <xr:revisionPtr revIDLastSave="0" documentId="13_ncr:1_{A76AAF67-DE2B-4E69-82C6-E5EB1A71B3B7}" xr6:coauthVersionLast="47" xr6:coauthVersionMax="47" xr10:uidLastSave="{00000000-0000-0000-0000-000000000000}"/>
  <bookViews>
    <workbookView xWindow="-28920" yWindow="-120" windowWidth="29040" windowHeight="15840" activeTab="1" xr2:uid="{260A762B-E942-4A40-AAE5-7E980C9B525F}"/>
  </bookViews>
  <sheets>
    <sheet name="Employees" sheetId="1" r:id="rId1"/>
    <sheet name="Fees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3" l="1"/>
  <c r="H32" i="3"/>
  <c r="F16" i="3"/>
  <c r="F17" i="3"/>
  <c r="E16" i="3"/>
  <c r="H16" i="3" l="1"/>
  <c r="F19" i="3"/>
  <c r="C14" i="2"/>
  <c r="C15" i="2" s="1"/>
  <c r="H35" i="3"/>
  <c r="H36" i="3"/>
  <c r="H34" i="3"/>
  <c r="K63" i="2"/>
  <c r="L63" i="2" s="1"/>
  <c r="H48" i="3"/>
  <c r="K35" i="3"/>
  <c r="G52" i="3"/>
  <c r="M53" i="3"/>
  <c r="M52" i="3"/>
  <c r="M51" i="3"/>
  <c r="M50" i="3"/>
  <c r="M49" i="3"/>
  <c r="M48" i="3"/>
  <c r="M47" i="3"/>
  <c r="M46" i="3"/>
  <c r="F18" i="3"/>
  <c r="K21" i="1"/>
  <c r="F15" i="1"/>
  <c r="G15" i="1" s="1"/>
  <c r="C21" i="1" s="1"/>
  <c r="E21" i="1" s="1"/>
  <c r="G21" i="1" s="1"/>
  <c r="E18" i="3" s="1"/>
  <c r="H39" i="3" l="1"/>
  <c r="H41" i="3" s="1"/>
  <c r="L64" i="2"/>
  <c r="L65" i="2" s="1"/>
  <c r="H52" i="3"/>
  <c r="M54" i="3"/>
  <c r="F15" i="3"/>
  <c r="H21" i="1"/>
  <c r="G15" i="3"/>
  <c r="M15" i="3" s="1"/>
  <c r="E54" i="3" l="1"/>
  <c r="E59" i="3" s="1"/>
  <c r="E60" i="3" s="1"/>
  <c r="E5" i="2"/>
  <c r="F14" i="1"/>
  <c r="G14" i="1" s="1"/>
  <c r="C20" i="1" s="1"/>
  <c r="F13" i="1"/>
  <c r="G13" i="1" s="1"/>
  <c r="C19" i="1" s="1"/>
  <c r="E61" i="3" l="1"/>
  <c r="E63" i="3" s="1"/>
  <c r="F66" i="3" s="1"/>
  <c r="E20" i="1"/>
  <c r="E19" i="1"/>
  <c r="G19" i="1" s="1"/>
  <c r="K25" i="2"/>
  <c r="K44" i="2"/>
  <c r="F69" i="3" l="1"/>
  <c r="H69" i="3" s="1"/>
  <c r="F67" i="3"/>
  <c r="H67" i="3" s="1"/>
  <c r="F68" i="3"/>
  <c r="H68" i="3" s="1"/>
  <c r="G20" i="1"/>
  <c r="H19" i="1"/>
  <c r="F5" i="2"/>
  <c r="G5" i="2" s="1"/>
  <c r="H5" i="2" s="1"/>
  <c r="H66" i="3"/>
  <c r="L45" i="2"/>
  <c r="L44" i="2"/>
  <c r="L26" i="2"/>
  <c r="L25" i="2"/>
  <c r="C16" i="2"/>
  <c r="C18" i="2" s="1"/>
  <c r="H72" i="3" l="1"/>
  <c r="H71" i="3" s="1"/>
  <c r="H74" i="3" s="1"/>
  <c r="E19" i="3"/>
  <c r="H19" i="3" s="1"/>
  <c r="H18" i="3"/>
  <c r="E17" i="3"/>
  <c r="H17" i="3" s="1"/>
  <c r="H20" i="1"/>
  <c r="L27" i="2"/>
  <c r="Q9" i="2"/>
  <c r="Q11" i="2"/>
  <c r="W11" i="2" s="1"/>
  <c r="S11" i="2" s="1"/>
  <c r="Q10" i="2"/>
  <c r="W10" i="2" s="1"/>
  <c r="S10" i="2" s="1"/>
  <c r="Q12" i="2"/>
  <c r="W12" i="2" s="1"/>
  <c r="S12" i="2" s="1"/>
  <c r="L46" i="2"/>
  <c r="H15" i="3" l="1"/>
  <c r="Q14" i="2"/>
  <c r="W9" i="2"/>
  <c r="S9" i="2" s="1"/>
  <c r="S15" i="2" s="1"/>
  <c r="H21" i="3" l="1"/>
  <c r="H23" i="3" s="1"/>
  <c r="H25" i="3" s="1"/>
  <c r="J22" i="3" l="1"/>
  <c r="M18" i="3"/>
  <c r="L32" i="3" l="1"/>
  <c r="K22" i="3"/>
  <c r="L22" i="3" s="1"/>
  <c r="L34" i="3"/>
  <c r="L33" i="3"/>
  <c r="N22" i="3" l="1"/>
  <c r="M22" i="3" s="1"/>
  <c r="L35" i="3"/>
  <c r="M24" i="3" l="1"/>
  <c r="M27" i="3" s="1"/>
</calcChain>
</file>

<file path=xl/sharedStrings.xml><?xml version="1.0" encoding="utf-8"?>
<sst xmlns="http://schemas.openxmlformats.org/spreadsheetml/2006/main" count="207" uniqueCount="135">
  <si>
    <t>Position</t>
  </si>
  <si>
    <t>Name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</si>
  <si>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</si>
  <si>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</si>
  <si>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</si>
  <si>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</si>
  <si>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</si>
  <si>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</si>
  <si>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</si>
  <si>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</si>
  <si>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</si>
  <si>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</si>
  <si>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</si>
  <si>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</si>
  <si>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</si>
  <si>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</si>
  <si>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</si>
  <si>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</si>
  <si>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</si>
  <si>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</si>
  <si>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</si>
  <si>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</si>
  <si>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</si>
  <si>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</si>
  <si>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</si>
  <si>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</si>
  <si>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</si>
  <si>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</si>
  <si>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</si>
  <si>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</si>
  <si>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</si>
  <si>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</si>
  <si>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</si>
  <si>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</si>
  <si>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</si>
  <si>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</si>
  <si>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</si>
  <si>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</si>
  <si>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</si>
  <si>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</si>
  <si>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</si>
  <si>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</si>
  <si>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</si>
  <si>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</si>
  <si>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</si>
  <si>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</si>
  <si>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</si>
  <si>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</si>
  <si>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</si>
  <si>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</si>
  <si>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</si>
  <si>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</si>
  <si>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</si>
  <si>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</si>
  <si>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</si>
  <si>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</si>
  <si>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</si>
  <si>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</si>
  <si>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</si>
  <si>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</si>
  <si>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</si>
  <si>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</si>
  <si>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</si>
  <si>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</si>
  <si>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</si>
  <si>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</si>
  <si>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</si>
  <si>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</si>
  <si>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Municipal Drawings and Submission</t>
  </si>
  <si>
    <t>Discount</t>
  </si>
  <si>
    <t>TOTAL:</t>
  </si>
  <si>
    <t>m² Rate</t>
  </si>
  <si>
    <t>PER M² FEES</t>
  </si>
  <si>
    <t xml:space="preserve">m² </t>
  </si>
  <si>
    <t>Company Fees</t>
  </si>
  <si>
    <t>Per Day Rate + Business Fees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</si>
  <si>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</si>
  <si>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</si>
  <si>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</si>
  <si>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</si>
  <si>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</si>
  <si>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</si>
  <si>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</si>
  <si>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</si>
  <si>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</si>
  <si>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</si>
  <si>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</si>
  <si>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</si>
  <si>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</si>
  <si>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</si>
  <si>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</si>
  <si>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</si>
  <si>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</si>
  <si>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</si>
  <si>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</si>
  <si>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Per/Hr</t>
  </si>
  <si>
    <t>Total Fees</t>
  </si>
  <si>
    <t>Discount overall</t>
  </si>
  <si>
    <t>Hannes</t>
  </si>
  <si>
    <t>Tech</t>
  </si>
  <si>
    <t>Johan Hugo</t>
  </si>
  <si>
    <t>basic tech drawings only</t>
  </si>
  <si>
    <t>Snr. Tech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</si>
  <si>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</si>
  <si>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</si>
  <si>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</si>
  <si>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</si>
  <si>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</si>
  <si>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</si>
  <si>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</si>
  <si>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</si>
  <si>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</si>
  <si>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</si>
  <si>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</si>
  <si>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</si>
  <si>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</si>
  <si>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</si>
  <si>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</si>
  <si>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</si>
  <si>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</si>
  <si>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</si>
  <si>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</si>
  <si>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Low</t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</si>
  <si>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</si>
  <si>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</si>
  <si>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</si>
  <si>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</si>
  <si>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</si>
  <si>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</si>
  <si>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</si>
  <si>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Build rate</t>
  </si>
  <si>
    <t>Johan</t>
  </si>
  <si>
    <t>Repitition Fees:</t>
  </si>
  <si>
    <t>Draw existing</t>
  </si>
  <si>
    <t>Design 2D &amp; 3D Visual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</si>
</sst>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5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28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6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7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7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/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164" fontId="4" fillId="0" borderId="51" xfId="0" applyNumberFormat="1" applyFont="1" applyBorder="1"/>
    <xf numFmtId="0" fontId="0" fillId="0" borderId="6" xfId="0" applyBorder="1"/>
    <xf numFmtId="0" fontId="0" fillId="0" borderId="9" xfId="0" applyBorder="1"/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top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0" fontId="0" fillId="0" borderId="0" xfId="0" applyAlignment="1">
      <alignment horizontal="center" vertical="center"/>
    </xf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0" fontId="23" fillId="0" borderId="0" xfId="0" applyFont="1"/>
    <xf numFmtId="164" fontId="23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9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vertical="top"/>
    </xf>
    <xf numFmtId="0" fontId="4" fillId="4" borderId="0" xfId="0" applyFont="1" applyFill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center"/>
    </xf>
    <xf numFmtId="165" fontId="3" fillId="5" borderId="0" xfId="0" applyNumberFormat="1" applyFont="1" applyFill="1" applyAlignment="1">
      <alignment vertical="center"/>
    </xf>
    <xf numFmtId="164" fontId="3" fillId="0" borderId="4" xfId="0" applyNumberFormat="1" applyFont="1" applyBorder="1"/>
    <xf numFmtId="0" fontId="5" fillId="0" borderId="51" xfId="0" applyFont="1" applyBorder="1" applyAlignment="1">
      <alignment vertical="center"/>
    </xf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44" fontId="5" fillId="0" borderId="0" xfId="0" applyNumberFormat="1" applyFont="1" applyAlignment="1">
      <alignment vertical="center"/>
    </xf>
    <xf numFmtId="164" fontId="22" fillId="8" borderId="0" xfId="0" applyNumberFormat="1" applyFont="1" applyFill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22" fillId="8" borderId="4" xfId="0" applyNumberFormat="1" applyFont="1" applyFill="1" applyBorder="1" applyAlignment="1">
      <alignment horizontal="center"/>
    </xf>
    <xf numFmtId="0" fontId="5" fillId="0" borderId="50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L43"/>
  <sheetViews>
    <sheetView topLeftCell="A10" workbookViewId="0">
      <selection activeCell="F15" sqref="F15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21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9.140625" style="1"/>
    <col min="11" max="11" width="17.140625" style="1" customWidth="1"/>
    <col min="12" max="12" width="19.28515625" style="1" customWidth="1"/>
    <col min="13" max="13" width="11.140625" style="1" bestFit="1" customWidth="1"/>
    <col min="14" max="14" width="9.140625" style="1"/>
    <col min="15" max="15" width="16.140625" style="1" customWidth="1"/>
    <col min="16" max="17" width="9.140625" style="1"/>
    <col min="18" max="18" width="25.42578125" style="1" customWidth="1"/>
    <col min="19" max="16384" width="9.140625" style="1"/>
  </cols>
  <sheetData>
    <row r="1" spans="1:11" x14ac:dyDescent="0.3">
      <c r="A1" s="226"/>
      <c r="B1" s="226"/>
      <c r="C1" s="226"/>
      <c r="D1" s="226"/>
      <c r="E1" s="226"/>
      <c r="F1" s="226"/>
      <c r="G1" s="226"/>
    </row>
    <row r="2" spans="1:11" x14ac:dyDescent="0.3">
      <c r="A2" s="226"/>
      <c r="B2" s="226"/>
      <c r="C2" s="226"/>
      <c r="D2" s="226"/>
      <c r="E2" s="226"/>
      <c r="F2" s="226"/>
      <c r="G2" s="226"/>
    </row>
    <row r="3" spans="1:11" x14ac:dyDescent="0.3">
      <c r="A3" s="226"/>
      <c r="B3" s="226"/>
      <c r="C3" s="226"/>
      <c r="D3" s="226"/>
      <c r="E3" s="226"/>
      <c r="F3" s="226"/>
      <c r="G3" s="226"/>
    </row>
    <row r="4" spans="1:11" x14ac:dyDescent="0.3">
      <c r="A4" s="226"/>
      <c r="B4" s="226"/>
      <c r="C4" s="226"/>
      <c r="D4" s="226"/>
      <c r="E4" s="226"/>
      <c r="F4" s="226"/>
      <c r="G4" s="226"/>
    </row>
    <row r="5" spans="1:11" x14ac:dyDescent="0.3">
      <c r="A5" s="226"/>
      <c r="B5" s="226"/>
      <c r="C5" s="226"/>
      <c r="D5" s="226"/>
      <c r="E5" s="226"/>
      <c r="F5" s="226"/>
      <c r="G5" s="226"/>
    </row>
    <row r="6" spans="1:11" x14ac:dyDescent="0.3">
      <c r="A6" s="226"/>
      <c r="B6" s="226"/>
      <c r="C6" s="226"/>
      <c r="D6" s="226"/>
      <c r="E6" s="226"/>
      <c r="F6" s="226"/>
      <c r="G6" s="226"/>
    </row>
    <row r="7" spans="1:11" x14ac:dyDescent="0.3">
      <c r="A7" s="226"/>
      <c r="B7" s="226"/>
      <c r="C7" s="226"/>
      <c r="D7" s="226"/>
      <c r="E7" s="226"/>
      <c r="F7" s="226"/>
      <c r="G7" s="226"/>
    </row>
    <row r="8" spans="1:11" x14ac:dyDescent="0.3">
      <c r="A8" s="226"/>
      <c r="B8" s="226"/>
      <c r="C8" s="226"/>
      <c r="D8" s="226"/>
      <c r="E8" s="226"/>
      <c r="F8" s="226"/>
      <c r="G8" s="226"/>
    </row>
    <row r="9" spans="1:11" x14ac:dyDescent="0.3">
      <c r="A9" s="226"/>
      <c r="B9" s="226"/>
      <c r="C9" s="226"/>
      <c r="D9" s="226"/>
      <c r="E9" s="226"/>
      <c r="F9" s="226"/>
      <c r="G9" s="226"/>
    </row>
    <row r="10" spans="1:11" x14ac:dyDescent="0.3">
      <c r="A10" s="226"/>
      <c r="B10" s="226"/>
      <c r="C10" s="226"/>
      <c r="D10" s="226"/>
      <c r="E10" s="226"/>
      <c r="F10" s="226"/>
      <c r="G10" s="226"/>
    </row>
    <row r="11" spans="1:11" ht="21" thickBot="1" x14ac:dyDescent="0.35">
      <c r="A11" s="241" t="s">
        <v>7</v>
      </c>
      <c r="B11" s="242"/>
      <c r="C11" s="242"/>
      <c r="D11" s="242"/>
      <c r="E11" s="242"/>
      <c r="F11" s="242"/>
      <c r="G11" s="242"/>
      <c r="I11" s="225"/>
    </row>
    <row r="12" spans="1:11" ht="18.75" customHeight="1" thickBot="1" x14ac:dyDescent="0.35">
      <c r="A12" s="100" t="s">
        <v>94</v>
      </c>
      <c r="B12" s="132" t="s">
        <v>1</v>
      </c>
      <c r="C12" s="99" t="s">
        <v>0</v>
      </c>
      <c r="D12" s="135" t="s">
        <v>127</v>
      </c>
      <c r="E12" s="245" t="s">
        <v>11</v>
      </c>
      <c r="F12" s="245"/>
      <c r="G12" s="231" t="s">
        <v>4</v>
      </c>
    </row>
    <row r="13" spans="1:11" x14ac:dyDescent="0.3">
      <c r="A13" s="167">
        <v>1</v>
      </c>
      <c r="B13" s="227" t="s">
        <v>5</v>
      </c>
      <c r="C13" s="119" t="s">
        <v>2</v>
      </c>
      <c r="D13" s="130">
        <v>40870</v>
      </c>
      <c r="E13" s="222">
        <v>0.15</v>
      </c>
      <c r="F13" s="130">
        <f>D13*E13</f>
        <v>6130.5</v>
      </c>
      <c r="G13" s="230">
        <f>D13+F13</f>
        <v>47000.5</v>
      </c>
      <c r="H13" s="119"/>
      <c r="I13" s="130"/>
    </row>
    <row r="14" spans="1:11" x14ac:dyDescent="0.3">
      <c r="A14" s="167">
        <v>2</v>
      </c>
      <c r="B14" s="224" t="s">
        <v>6</v>
      </c>
      <c r="C14" s="119" t="s">
        <v>2</v>
      </c>
      <c r="D14" s="228">
        <v>38000</v>
      </c>
      <c r="E14" s="222">
        <v>0.15</v>
      </c>
      <c r="F14" s="130">
        <f>D14*E14</f>
        <v>5700</v>
      </c>
      <c r="G14" s="130">
        <f>D14+F14</f>
        <v>43700</v>
      </c>
      <c r="H14" s="119"/>
      <c r="I14" s="119"/>
    </row>
    <row r="15" spans="1:11" x14ac:dyDescent="0.3">
      <c r="A15" s="167">
        <v>3</v>
      </c>
      <c r="B15" s="119" t="s">
        <v>100</v>
      </c>
      <c r="C15" s="119" t="s">
        <v>99</v>
      </c>
      <c r="D15" s="228">
        <v>24000</v>
      </c>
      <c r="E15" s="222">
        <v>0.15</v>
      </c>
      <c r="F15" s="130">
        <f>D15*E15</f>
        <v>3600</v>
      </c>
      <c r="G15" s="130">
        <f>D15+F15</f>
        <v>27600</v>
      </c>
      <c r="H15" s="119" t="s">
        <v>101</v>
      </c>
      <c r="I15" s="119"/>
    </row>
    <row r="16" spans="1:11" x14ac:dyDescent="0.3">
      <c r="A16" s="4"/>
      <c r="K16"/>
    </row>
    <row r="17" spans="1:12" ht="21" thickBot="1" x14ac:dyDescent="0.35">
      <c r="A17" s="243" t="s">
        <v>8</v>
      </c>
      <c r="B17" s="243"/>
      <c r="C17" s="243"/>
      <c r="D17" s="243"/>
      <c r="E17" s="243"/>
      <c r="F17" s="243"/>
      <c r="G17" s="243"/>
      <c r="K17"/>
    </row>
    <row r="18" spans="1:12" ht="18" thickBot="1" x14ac:dyDescent="0.35">
      <c r="A18" s="90" t="s">
        <v>94</v>
      </c>
      <c r="B18" s="133" t="s">
        <v>9</v>
      </c>
      <c r="C18" s="101" t="s">
        <v>12</v>
      </c>
      <c r="D18" s="133" t="s">
        <v>10</v>
      </c>
      <c r="E18" s="101" t="s">
        <v>95</v>
      </c>
      <c r="F18" s="102" t="s">
        <v>74</v>
      </c>
      <c r="G18" s="134" t="s">
        <v>13</v>
      </c>
      <c r="H18" s="127" t="s">
        <v>75</v>
      </c>
      <c r="I18" s="125"/>
      <c r="J18" s="126"/>
      <c r="K18"/>
    </row>
    <row r="19" spans="1:12" x14ac:dyDescent="0.3">
      <c r="A19" s="167">
        <v>1</v>
      </c>
      <c r="B19" s="224">
        <v>21</v>
      </c>
      <c r="C19" s="228">
        <f>G13/B19</f>
        <v>2238.1190476190477</v>
      </c>
      <c r="D19" s="224">
        <v>8</v>
      </c>
      <c r="E19" s="223">
        <f>C19/D19</f>
        <v>279.76488095238096</v>
      </c>
      <c r="F19" s="224">
        <v>2.4</v>
      </c>
      <c r="G19" s="229">
        <f>ROUNDUP(E19*F19,-0.5)</f>
        <v>672</v>
      </c>
      <c r="H19" s="244">
        <f>G19*D19</f>
        <v>5376</v>
      </c>
      <c r="I19" s="244"/>
      <c r="J19" s="244"/>
      <c r="K19" s="119" t="s">
        <v>98</v>
      </c>
      <c r="L19" s="119" t="s">
        <v>2</v>
      </c>
    </row>
    <row r="20" spans="1:12" x14ac:dyDescent="0.3">
      <c r="A20" s="167">
        <v>2</v>
      </c>
      <c r="B20" s="224">
        <v>21</v>
      </c>
      <c r="C20" s="228">
        <f>G14/B20</f>
        <v>2080.9523809523807</v>
      </c>
      <c r="D20" s="224">
        <v>8</v>
      </c>
      <c r="E20" s="223">
        <f>C20/D20</f>
        <v>260.11904761904759</v>
      </c>
      <c r="F20" s="224">
        <v>2.4</v>
      </c>
      <c r="G20" s="229">
        <f>ROUNDUP(E20*F20,-0.5)</f>
        <v>625</v>
      </c>
      <c r="H20" s="240">
        <f>G20*D20</f>
        <v>5000</v>
      </c>
      <c r="I20" s="240"/>
      <c r="J20" s="240"/>
      <c r="K20" s="119" t="s">
        <v>78</v>
      </c>
      <c r="L20" s="119" t="s">
        <v>2</v>
      </c>
    </row>
    <row r="21" spans="1:12" x14ac:dyDescent="0.3">
      <c r="A21" s="167">
        <v>3</v>
      </c>
      <c r="B21" s="119">
        <v>21</v>
      </c>
      <c r="C21" s="130">
        <f>G15/B21</f>
        <v>1314.2857142857142</v>
      </c>
      <c r="D21" s="224">
        <v>8</v>
      </c>
      <c r="E21" s="223">
        <f>C21/D21</f>
        <v>164.28571428571428</v>
      </c>
      <c r="F21" s="119">
        <v>2.4</v>
      </c>
      <c r="G21" s="229">
        <f>ROUNDUP(E21*F21,-0.5)</f>
        <v>395</v>
      </c>
      <c r="H21" s="240">
        <f>G21*D21</f>
        <v>3160</v>
      </c>
      <c r="I21" s="240"/>
      <c r="J21" s="240"/>
      <c r="K21" s="119" t="str">
        <f>B15</f>
        <v>Johan Hugo</v>
      </c>
      <c r="L21" s="119" t="s">
        <v>102</v>
      </c>
    </row>
    <row r="22" spans="1:12" x14ac:dyDescent="0.3">
      <c r="A22" s="4"/>
      <c r="K22"/>
    </row>
    <row r="23" spans="1:12" x14ac:dyDescent="0.3">
      <c r="A23" s="4"/>
      <c r="B23"/>
      <c r="C23"/>
      <c r="D23"/>
      <c r="E23"/>
      <c r="F23"/>
      <c r="G23"/>
      <c r="H23"/>
      <c r="I23"/>
      <c r="K23"/>
    </row>
    <row r="24" spans="1:12" x14ac:dyDescent="0.3">
      <c r="A24" s="4"/>
      <c r="B24"/>
      <c r="C24"/>
      <c r="D24"/>
      <c r="E24"/>
      <c r="F24"/>
      <c r="G24"/>
      <c r="H24"/>
      <c r="I24"/>
    </row>
    <row r="25" spans="1:12" x14ac:dyDescent="0.3">
      <c r="A25" s="4"/>
      <c r="B25"/>
      <c r="C25"/>
      <c r="D25"/>
      <c r="E25"/>
      <c r="F25"/>
      <c r="G25"/>
      <c r="H25"/>
      <c r="I25"/>
    </row>
    <row r="26" spans="1:12" x14ac:dyDescent="0.3">
      <c r="A26" s="4"/>
      <c r="B26"/>
      <c r="C26"/>
      <c r="D26"/>
      <c r="E26"/>
      <c r="F26"/>
      <c r="G26"/>
      <c r="H26"/>
      <c r="I26"/>
    </row>
    <row r="27" spans="1:12" x14ac:dyDescent="0.3">
      <c r="A27" s="4"/>
      <c r="B27"/>
      <c r="C27"/>
      <c r="D27"/>
      <c r="E27"/>
      <c r="F27"/>
      <c r="G27"/>
      <c r="H27"/>
      <c r="I27"/>
    </row>
    <row r="28" spans="1:12" x14ac:dyDescent="0.3">
      <c r="A28" s="4"/>
      <c r="B28"/>
      <c r="C28"/>
      <c r="D28"/>
      <c r="E28"/>
      <c r="F28"/>
      <c r="G28"/>
      <c r="H28"/>
      <c r="I28"/>
    </row>
    <row r="29" spans="1:12" x14ac:dyDescent="0.3">
      <c r="A29" s="4"/>
      <c r="B29"/>
      <c r="C29"/>
      <c r="D29"/>
      <c r="E29"/>
      <c r="F29"/>
      <c r="G29"/>
      <c r="H29"/>
      <c r="I29"/>
    </row>
    <row r="30" spans="1:12" x14ac:dyDescent="0.3">
      <c r="A30" s="4"/>
      <c r="B30"/>
      <c r="C30"/>
      <c r="D30"/>
      <c r="E30"/>
      <c r="F30"/>
      <c r="G30"/>
      <c r="H30"/>
      <c r="I30"/>
    </row>
    <row r="31" spans="1:12" x14ac:dyDescent="0.3">
      <c r="A31" s="4"/>
      <c r="B31"/>
      <c r="C31"/>
      <c r="D31"/>
      <c r="E31"/>
      <c r="F31"/>
      <c r="G31"/>
      <c r="H31"/>
      <c r="I31"/>
    </row>
    <row r="32" spans="1:12" x14ac:dyDescent="0.3">
      <c r="B32"/>
      <c r="C32"/>
      <c r="D32"/>
      <c r="E32"/>
      <c r="F32"/>
      <c r="G32"/>
      <c r="H32"/>
      <c r="I32"/>
    </row>
    <row r="33" spans="2:9" x14ac:dyDescent="0.3">
      <c r="B33"/>
      <c r="C33"/>
      <c r="D33"/>
      <c r="E33"/>
      <c r="F33"/>
      <c r="G33"/>
      <c r="H33"/>
      <c r="I33"/>
    </row>
    <row r="34" spans="2:9" x14ac:dyDescent="0.3">
      <c r="B34"/>
      <c r="C34"/>
      <c r="D34"/>
      <c r="E34"/>
      <c r="F34"/>
      <c r="G34"/>
      <c r="H34"/>
      <c r="I34"/>
    </row>
    <row r="35" spans="2:9" x14ac:dyDescent="0.3">
      <c r="B35"/>
      <c r="C35"/>
      <c r="D35"/>
      <c r="E35"/>
      <c r="F35"/>
      <c r="G35"/>
      <c r="H35"/>
      <c r="I35"/>
    </row>
    <row r="36" spans="2:9" x14ac:dyDescent="0.3">
      <c r="B36"/>
      <c r="C36"/>
      <c r="D36"/>
      <c r="E36"/>
      <c r="F36"/>
      <c r="G36"/>
      <c r="H36"/>
      <c r="I36"/>
    </row>
    <row r="37" spans="2:9" x14ac:dyDescent="0.3">
      <c r="B37"/>
      <c r="C37"/>
      <c r="D37"/>
      <c r="E37"/>
      <c r="F37"/>
      <c r="G37"/>
      <c r="H37"/>
      <c r="I37"/>
    </row>
    <row r="38" spans="2:9" x14ac:dyDescent="0.3">
      <c r="B38"/>
      <c r="C38"/>
      <c r="D38"/>
      <c r="E38"/>
      <c r="F38"/>
      <c r="G38"/>
      <c r="H38"/>
      <c r="I38"/>
    </row>
    <row r="39" spans="2:9" x14ac:dyDescent="0.3">
      <c r="B39"/>
      <c r="C39"/>
      <c r="D39"/>
      <c r="E39"/>
      <c r="F39"/>
      <c r="G39"/>
      <c r="H39"/>
      <c r="I39"/>
    </row>
    <row r="40" spans="2:9" x14ac:dyDescent="0.3">
      <c r="B40"/>
      <c r="C40"/>
      <c r="D40"/>
      <c r="E40"/>
      <c r="F40"/>
      <c r="G40"/>
      <c r="H40"/>
      <c r="I40"/>
    </row>
    <row r="41" spans="2:9" x14ac:dyDescent="0.3">
      <c r="B41"/>
      <c r="C41"/>
      <c r="D41"/>
      <c r="E41"/>
      <c r="F41"/>
      <c r="G41"/>
      <c r="H41"/>
      <c r="I41"/>
    </row>
    <row r="42" spans="2:9" x14ac:dyDescent="0.3">
      <c r="B42"/>
      <c r="C42"/>
      <c r="D42"/>
      <c r="E42"/>
      <c r="F42"/>
      <c r="G42"/>
      <c r="H42"/>
      <c r="I42"/>
    </row>
    <row r="43" spans="2:9" x14ac:dyDescent="0.3">
      <c r="B43"/>
      <c r="C43"/>
      <c r="D43"/>
      <c r="E43"/>
      <c r="F43"/>
      <c r="G43"/>
      <c r="H43"/>
      <c r="I43"/>
    </row>
  </sheetData>
  <mergeCells count="6">
    <mergeCell ref="H21:J21"/>
    <mergeCell ref="A11:G11"/>
    <mergeCell ref="A17:G17"/>
    <mergeCell ref="H19:J19"/>
    <mergeCell ref="E12:F12"/>
    <mergeCell ref="H20:J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05"/>
  <sheetViews>
    <sheetView tabSelected="1" zoomScale="85" zoomScaleNormal="85" workbookViewId="0">
      <selection activeCell="J7" sqref="J7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26"/>
      <c r="B1" s="226"/>
      <c r="C1" s="226"/>
      <c r="D1" s="226"/>
      <c r="E1" s="226"/>
      <c r="F1" s="226"/>
      <c r="G1" s="226"/>
      <c r="H1" s="226"/>
      <c r="I1" s="1"/>
      <c r="J1" s="1"/>
      <c r="K1" s="1"/>
      <c r="L1" s="1"/>
      <c r="M1" s="1"/>
    </row>
    <row r="2" spans="1:13" ht="17.25" x14ac:dyDescent="0.3">
      <c r="A2" s="226"/>
      <c r="B2" s="226"/>
      <c r="C2" s="226"/>
      <c r="D2" s="226"/>
      <c r="E2" s="226"/>
      <c r="F2" s="226"/>
      <c r="G2" s="226"/>
      <c r="H2" s="226"/>
      <c r="I2" s="2"/>
      <c r="J2" s="2"/>
      <c r="K2" s="1"/>
      <c r="L2" s="1"/>
      <c r="M2" s="1"/>
    </row>
    <row r="3" spans="1:13" ht="17.25" x14ac:dyDescent="0.3">
      <c r="A3" s="226"/>
      <c r="B3" s="226"/>
      <c r="C3" s="226"/>
      <c r="D3" s="226"/>
      <c r="E3" s="226"/>
      <c r="F3" s="226"/>
      <c r="G3" s="226"/>
      <c r="H3" s="226"/>
      <c r="I3" s="2"/>
      <c r="J3" s="2"/>
      <c r="K3" s="1"/>
      <c r="L3" s="1"/>
      <c r="M3" s="1"/>
    </row>
    <row r="4" spans="1:13" ht="17.25" x14ac:dyDescent="0.3">
      <c r="A4" s="226"/>
      <c r="B4" s="226"/>
      <c r="C4" s="226"/>
      <c r="D4" s="226"/>
      <c r="E4" s="226"/>
      <c r="F4" s="226"/>
      <c r="G4" s="226"/>
      <c r="H4" s="226"/>
      <c r="I4" s="2"/>
      <c r="J4" s="2"/>
      <c r="K4" s="1"/>
      <c r="L4" s="1"/>
      <c r="M4" s="1"/>
    </row>
    <row r="5" spans="1:13" ht="17.25" x14ac:dyDescent="0.3">
      <c r="A5" s="226"/>
      <c r="B5" s="226"/>
      <c r="C5" s="226"/>
      <c r="D5" s="226"/>
      <c r="E5" s="226"/>
      <c r="F5" s="226"/>
      <c r="G5" s="226"/>
      <c r="H5" s="226"/>
      <c r="I5" s="2"/>
      <c r="J5" s="2"/>
      <c r="K5" s="1"/>
      <c r="L5" s="1"/>
      <c r="M5" s="1"/>
    </row>
    <row r="6" spans="1:13" ht="17.25" x14ac:dyDescent="0.3">
      <c r="A6" s="226"/>
      <c r="B6" s="226"/>
      <c r="C6" s="226"/>
      <c r="D6" s="226"/>
      <c r="E6" s="226"/>
      <c r="F6" s="226"/>
      <c r="G6" s="226"/>
      <c r="H6" s="226"/>
      <c r="I6" s="1"/>
      <c r="J6" s="1"/>
      <c r="K6" s="1"/>
      <c r="L6" s="1"/>
      <c r="M6" s="1"/>
    </row>
    <row r="7" spans="1:13" ht="17.25" x14ac:dyDescent="0.3">
      <c r="A7" s="226"/>
      <c r="B7" s="226"/>
      <c r="C7" s="226"/>
      <c r="D7" s="226"/>
      <c r="E7" s="226"/>
      <c r="F7" s="226"/>
      <c r="G7" s="226"/>
      <c r="H7" s="226"/>
      <c r="I7" s="2"/>
      <c r="J7" s="2"/>
      <c r="K7" s="1"/>
      <c r="L7" s="1"/>
      <c r="M7" s="1"/>
    </row>
    <row r="8" spans="1:13" ht="17.25" x14ac:dyDescent="0.3">
      <c r="A8" s="226"/>
      <c r="B8" s="226"/>
      <c r="C8" s="226"/>
      <c r="D8" s="226"/>
      <c r="E8" s="226"/>
      <c r="F8" s="226"/>
      <c r="G8" s="226"/>
      <c r="H8" s="226"/>
      <c r="I8" s="2"/>
      <c r="J8" s="2"/>
      <c r="K8" s="1"/>
      <c r="L8" s="1"/>
      <c r="M8" s="1"/>
    </row>
    <row r="9" spans="1:13" ht="17.25" x14ac:dyDescent="0.3">
      <c r="A9" s="226"/>
      <c r="B9" s="226"/>
      <c r="C9" s="226"/>
      <c r="D9" s="226"/>
      <c r="E9" s="226"/>
      <c r="F9" s="226"/>
      <c r="G9" s="226"/>
      <c r="H9" s="226"/>
      <c r="I9" s="1"/>
      <c r="K9" s="3"/>
      <c r="L9" s="1"/>
      <c r="M9" s="1"/>
    </row>
    <row r="10" spans="1:13" ht="18" thickBot="1" x14ac:dyDescent="0.35">
      <c r="A10" s="226"/>
      <c r="B10" s="226"/>
      <c r="C10" s="226"/>
      <c r="D10" s="226"/>
      <c r="E10" s="226"/>
      <c r="F10" s="226"/>
      <c r="G10" s="226"/>
      <c r="H10" s="226"/>
      <c r="I10" s="2"/>
      <c r="J10" s="2"/>
      <c r="K10" s="3"/>
      <c r="L10" s="1"/>
      <c r="M10" s="1"/>
    </row>
    <row r="11" spans="1:13" ht="21" thickBot="1" x14ac:dyDescent="0.35">
      <c r="A11" s="253" t="s">
        <v>14</v>
      </c>
      <c r="B11" s="254"/>
      <c r="C11" s="254"/>
      <c r="D11" s="254"/>
      <c r="E11" s="254"/>
      <c r="F11" s="254"/>
      <c r="G11" s="254"/>
      <c r="H11" s="255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56" t="s">
        <v>65</v>
      </c>
      <c r="B13" s="257"/>
      <c r="C13" s="258"/>
      <c r="D13" s="1"/>
      <c r="E13" s="4" t="s">
        <v>66</v>
      </c>
      <c r="F13" s="1"/>
      <c r="G13" s="1"/>
      <c r="H13" s="1"/>
      <c r="K13" s="1"/>
      <c r="L13" s="1"/>
      <c r="M13" s="1"/>
    </row>
    <row r="14" spans="1:13" ht="18" thickBot="1" x14ac:dyDescent="0.35">
      <c r="A14" s="259" t="s">
        <v>61</v>
      </c>
      <c r="B14" s="260"/>
      <c r="C14" s="260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1"/>
      <c r="K14" s="1"/>
      <c r="M14" s="3"/>
    </row>
    <row r="15" spans="1:13" ht="18" thickBot="1" x14ac:dyDescent="0.35">
      <c r="A15" s="262" t="s">
        <v>82</v>
      </c>
      <c r="B15" s="263"/>
      <c r="C15" s="71"/>
      <c r="D15" s="71"/>
      <c r="E15" s="71"/>
      <c r="F15" s="76">
        <f>SUM(F17:F28)</f>
        <v>62.040000000000006</v>
      </c>
      <c r="G15" s="76">
        <f>SUM(G17:G28)</f>
        <v>8.7550000000000008</v>
      </c>
      <c r="H15" s="206">
        <f>SUM(H16:H19)</f>
        <v>34089</v>
      </c>
      <c r="I15" s="1"/>
      <c r="J15" s="246" t="s">
        <v>76</v>
      </c>
      <c r="K15" s="247"/>
      <c r="L15" s="248"/>
      <c r="M15" s="168">
        <f>G15</f>
        <v>8.7550000000000008</v>
      </c>
    </row>
    <row r="16" spans="1:13" ht="17.25" x14ac:dyDescent="0.3">
      <c r="A16" s="201" t="s">
        <v>133</v>
      </c>
      <c r="D16" s="60" t="s">
        <v>78</v>
      </c>
      <c r="E16" s="60">
        <f>IF(D16="Dewald", Employees!$G$20,IF(D16="Hannes",Employees!$G$19,IF(D16="Johan",Employees!$G$21,"")))</f>
        <v>625</v>
      </c>
      <c r="F16" s="3">
        <f>G16*8</f>
        <v>8.4</v>
      </c>
      <c r="G16" s="202">
        <v>1.05</v>
      </c>
      <c r="H16" s="204">
        <f>F16*E16</f>
        <v>5250</v>
      </c>
      <c r="I16" s="1"/>
      <c r="M16" s="3"/>
    </row>
    <row r="17" spans="1:14" ht="18" thickBot="1" x14ac:dyDescent="0.35">
      <c r="A17" s="1" t="s">
        <v>134</v>
      </c>
      <c r="B17" s="252"/>
      <c r="C17" s="252"/>
      <c r="D17" s="60" t="s">
        <v>78</v>
      </c>
      <c r="E17" s="60">
        <f>IF(D17="Dewald", Employees!$G$20,IF(D17="Hannes",Employees!$G$19,IF(D17="Johan",Employees!$G$21,"")))</f>
        <v>625</v>
      </c>
      <c r="F17" s="3">
        <f>G17*8</f>
        <v>16.12</v>
      </c>
      <c r="G17" s="202">
        <v>2.0150000000000001</v>
      </c>
      <c r="H17" s="204">
        <f>F17*E17</f>
        <v>10075</v>
      </c>
      <c r="I17" s="1"/>
      <c r="M17" s="3"/>
    </row>
    <row r="18" spans="1:14" ht="18" thickBot="1" x14ac:dyDescent="0.35">
      <c r="A18" s="201" t="s">
        <v>68</v>
      </c>
      <c r="B18" s="201"/>
      <c r="C18" s="1"/>
      <c r="D18" s="60" t="s">
        <v>131</v>
      </c>
      <c r="E18" s="60">
        <f>IF(D18="Dewald", Employees!$G$20,IF(D18="Hannes",Employees!$G$19,IF(D18="Johan",Employees!$G$21,"")))</f>
        <v>395</v>
      </c>
      <c r="F18" s="3">
        <f>G18*8</f>
        <v>43.2</v>
      </c>
      <c r="G18" s="202">
        <v>5.4</v>
      </c>
      <c r="H18" s="204">
        <f t="shared" ref="H18" si="0">F18*E18</f>
        <v>17064</v>
      </c>
      <c r="I18" s="1"/>
      <c r="J18" s="249" t="s">
        <v>79</v>
      </c>
      <c r="K18" s="250"/>
      <c r="L18" s="251"/>
      <c r="M18" s="110">
        <f>H23/M15</f>
        <v>3893.6607652769844</v>
      </c>
    </row>
    <row r="19" spans="1:14" ht="17.25" x14ac:dyDescent="0.3">
      <c r="A19" s="201" t="s">
        <v>83</v>
      </c>
      <c r="B19" s="201"/>
      <c r="C19" s="1"/>
      <c r="D19" s="60" t="s">
        <v>78</v>
      </c>
      <c r="E19" s="60">
        <f>IF(D19="Dewald", Employees!$G$20,IF(D19="Hannes",Employees!$G$19,IF(D19="Johan",Employees!$G$21,"")))</f>
        <v>625</v>
      </c>
      <c r="F19" s="3">
        <f>G19*8</f>
        <v>2.72</v>
      </c>
      <c r="G19" s="202">
        <v>0.34</v>
      </c>
      <c r="H19" s="204">
        <f>F19*E19</f>
        <v>1700.0000000000002</v>
      </c>
      <c r="I19" s="1"/>
      <c r="M19" s="97"/>
    </row>
    <row r="20" spans="1:14" ht="18" thickBot="1" x14ac:dyDescent="0.35">
      <c r="A20" s="261"/>
      <c r="B20" s="261"/>
      <c r="D20" s="60"/>
      <c r="I20" s="1"/>
    </row>
    <row r="21" spans="1:14" ht="18.75" thickBot="1" x14ac:dyDescent="0.35">
      <c r="F21" s="92" t="s">
        <v>81</v>
      </c>
      <c r="G21" s="73"/>
      <c r="H21" s="203">
        <f>H15</f>
        <v>34089</v>
      </c>
      <c r="I21" s="1"/>
      <c r="J21" s="105" t="s">
        <v>96</v>
      </c>
      <c r="K21" s="107" t="s">
        <v>89</v>
      </c>
      <c r="L21" s="108" t="s">
        <v>84</v>
      </c>
      <c r="M21" s="109" t="s">
        <v>87</v>
      </c>
      <c r="N21" s="106" t="s">
        <v>85</v>
      </c>
    </row>
    <row r="22" spans="1:14" ht="18.75" thickBot="1" x14ac:dyDescent="0.35">
      <c r="A22" s="239"/>
      <c r="B22" s="73"/>
      <c r="D22" s="92"/>
      <c r="F22" s="92"/>
      <c r="G22" s="74"/>
      <c r="H22" s="203"/>
      <c r="I22" s="1"/>
      <c r="J22" s="111">
        <f>H23</f>
        <v>34089</v>
      </c>
      <c r="K22" s="60">
        <f>J22*0.05</f>
        <v>1704.45</v>
      </c>
      <c r="L22" s="60">
        <f>J22-K22</f>
        <v>32384.55</v>
      </c>
      <c r="M22" s="111">
        <f>L22-N22</f>
        <v>18890.987499999999</v>
      </c>
      <c r="N22" s="113">
        <f>L22/2.4</f>
        <v>13493.5625</v>
      </c>
    </row>
    <row r="23" spans="1:14" ht="19.5" thickBot="1" x14ac:dyDescent="0.35">
      <c r="B23" s="73"/>
      <c r="C23" s="73"/>
      <c r="F23" s="149" t="s">
        <v>70</v>
      </c>
      <c r="G23" s="150"/>
      <c r="H23" s="205">
        <f>(H21-H22)</f>
        <v>34089</v>
      </c>
      <c r="I23" s="1"/>
      <c r="M23" s="97"/>
    </row>
    <row r="24" spans="1:14" ht="18" thickBot="1" x14ac:dyDescent="0.35">
      <c r="A24" s="1"/>
      <c r="B24" s="1"/>
      <c r="C24" s="1"/>
      <c r="D24" s="1"/>
      <c r="I24" s="1"/>
      <c r="J24" s="104" t="s">
        <v>86</v>
      </c>
      <c r="K24" s="95"/>
      <c r="L24" s="95"/>
      <c r="M24" s="112">
        <f>M22*0.15</f>
        <v>2833.6481249999997</v>
      </c>
    </row>
    <row r="25" spans="1:14" ht="19.5" thickBot="1" x14ac:dyDescent="0.35">
      <c r="A25" s="1"/>
      <c r="B25" s="1"/>
      <c r="C25" s="1"/>
      <c r="D25" s="1"/>
      <c r="F25" s="92" t="s">
        <v>132</v>
      </c>
      <c r="G25" s="73">
        <v>1</v>
      </c>
      <c r="H25" s="205">
        <f>H23*G25*1.35</f>
        <v>46020.15</v>
      </c>
      <c r="I25" s="1"/>
    </row>
    <row r="26" spans="1:14" ht="18" thickBot="1" x14ac:dyDescent="0.35">
      <c r="A26" s="1"/>
      <c r="B26" s="1"/>
      <c r="C26" s="1"/>
      <c r="D26" s="1"/>
      <c r="E26" s="1"/>
      <c r="F26" s="1"/>
      <c r="G26" s="1"/>
      <c r="H26" s="1"/>
      <c r="I26" s="1"/>
    </row>
    <row r="27" spans="1:14" ht="18" thickBot="1" x14ac:dyDescent="0.35">
      <c r="A27" s="78"/>
      <c r="B27" s="78"/>
      <c r="C27" s="78"/>
      <c r="D27" s="78"/>
      <c r="E27" s="78"/>
      <c r="F27" s="78"/>
      <c r="G27" s="78"/>
      <c r="H27" s="78"/>
      <c r="I27" s="1"/>
      <c r="J27" s="103" t="s">
        <v>88</v>
      </c>
      <c r="K27" s="95"/>
      <c r="L27" s="95"/>
      <c r="M27" s="112">
        <f>M22-M24</f>
        <v>16057.339375</v>
      </c>
    </row>
    <row r="28" spans="1:14" ht="18" thickBot="1" x14ac:dyDescent="0.35">
      <c r="H28" s="175"/>
      <c r="I28" s="1"/>
    </row>
    <row r="29" spans="1:14" ht="19.5" thickBot="1" x14ac:dyDescent="0.35">
      <c r="A29" s="213" t="s">
        <v>72</v>
      </c>
      <c r="B29" s="162"/>
      <c r="C29" s="163"/>
      <c r="D29" s="1"/>
      <c r="E29" s="3"/>
      <c r="F29" s="1"/>
      <c r="G29" s="1"/>
      <c r="H29" s="1"/>
      <c r="I29" s="1"/>
      <c r="J29" s="1"/>
      <c r="K29" s="94"/>
      <c r="M29" s="97"/>
    </row>
    <row r="30" spans="1:14" ht="18" thickBot="1" x14ac:dyDescent="0.35">
      <c r="A30" s="145" t="s">
        <v>61</v>
      </c>
      <c r="B30" s="136"/>
      <c r="C30" s="136"/>
      <c r="D30" s="136"/>
      <c r="E30" s="136"/>
      <c r="F30" s="136"/>
      <c r="G30" s="218"/>
      <c r="H30" s="137"/>
    </row>
    <row r="31" spans="1:14" ht="18" thickBot="1" x14ac:dyDescent="0.35">
      <c r="I31" s="1"/>
      <c r="J31" s="178" t="s">
        <v>118</v>
      </c>
      <c r="K31" s="178" t="s">
        <v>119</v>
      </c>
      <c r="L31" s="178" t="s">
        <v>120</v>
      </c>
      <c r="M31" s="60"/>
    </row>
    <row r="32" spans="1:14" ht="18" thickBot="1" x14ac:dyDescent="0.35">
      <c r="A32" s="164" t="s">
        <v>82</v>
      </c>
      <c r="B32" s="165"/>
      <c r="C32" s="71"/>
      <c r="D32" s="136" t="s">
        <v>63</v>
      </c>
      <c r="E32" s="136" t="s">
        <v>71</v>
      </c>
      <c r="F32" s="136" t="s">
        <v>73</v>
      </c>
      <c r="G32" s="217"/>
      <c r="H32" s="206">
        <f>SUM(H33:H37)</f>
        <v>39024</v>
      </c>
      <c r="I32" s="1"/>
      <c r="J32" s="179" t="s">
        <v>115</v>
      </c>
      <c r="K32" s="180">
        <v>0.6</v>
      </c>
      <c r="L32" s="181">
        <f>J22*K32</f>
        <v>20453.399999999998</v>
      </c>
    </row>
    <row r="33" spans="1:13" ht="17.25" x14ac:dyDescent="0.3">
      <c r="A33" s="201" t="s">
        <v>133</v>
      </c>
      <c r="D33" s="60" t="s">
        <v>78</v>
      </c>
      <c r="E33" s="5">
        <v>30</v>
      </c>
      <c r="F33" s="1">
        <v>208</v>
      </c>
      <c r="H33" s="204">
        <f>F33*E33</f>
        <v>6240</v>
      </c>
      <c r="I33" s="1"/>
      <c r="J33" s="179" t="s">
        <v>116</v>
      </c>
      <c r="K33" s="180">
        <v>0.32</v>
      </c>
      <c r="L33" s="181">
        <f>J22*K33</f>
        <v>10908.48</v>
      </c>
    </row>
    <row r="34" spans="1:13" ht="18" thickBot="1" x14ac:dyDescent="0.35">
      <c r="A34" s="201" t="s">
        <v>44</v>
      </c>
      <c r="B34" s="201"/>
      <c r="C34" s="1"/>
      <c r="D34" s="60" t="s">
        <v>78</v>
      </c>
      <c r="E34" s="5">
        <v>120</v>
      </c>
      <c r="F34" s="1">
        <v>86</v>
      </c>
      <c r="G34" s="70"/>
      <c r="H34" s="204">
        <f>F34*E34</f>
        <v>10320</v>
      </c>
      <c r="J34" s="182" t="s">
        <v>117</v>
      </c>
      <c r="K34" s="183">
        <v>0.08</v>
      </c>
      <c r="L34" s="184">
        <f>J22*K34</f>
        <v>2727.12</v>
      </c>
      <c r="M34" s="1"/>
    </row>
    <row r="35" spans="1:13" ht="18" thickBot="1" x14ac:dyDescent="0.35">
      <c r="A35" s="201" t="s">
        <v>124</v>
      </c>
      <c r="B35" s="201"/>
      <c r="C35" s="1"/>
      <c r="D35" s="60" t="s">
        <v>78</v>
      </c>
      <c r="E35" s="5">
        <v>100</v>
      </c>
      <c r="F35" s="1">
        <v>208</v>
      </c>
      <c r="G35" s="70"/>
      <c r="H35" s="204">
        <f>F35*E35</f>
        <v>20800</v>
      </c>
      <c r="J35" s="185" t="s">
        <v>3</v>
      </c>
      <c r="K35" s="186">
        <f>SUM(K32:K34)</f>
        <v>0.99999999999999989</v>
      </c>
      <c r="L35" s="177">
        <f>SUM(L32:L34)</f>
        <v>34089</v>
      </c>
      <c r="M35" s="1"/>
    </row>
    <row r="36" spans="1:13" ht="17.25" x14ac:dyDescent="0.3">
      <c r="A36" s="201" t="s">
        <v>83</v>
      </c>
      <c r="B36" s="201"/>
      <c r="C36" s="1"/>
      <c r="D36" s="60" t="s">
        <v>78</v>
      </c>
      <c r="E36" s="5">
        <v>8</v>
      </c>
      <c r="F36" s="1">
        <v>208</v>
      </c>
      <c r="G36" s="70"/>
      <c r="H36" s="204">
        <f>F36*E36</f>
        <v>1664</v>
      </c>
      <c r="M36" s="1"/>
    </row>
    <row r="37" spans="1:13" ht="17.25" x14ac:dyDescent="0.3">
      <c r="A37" s="201"/>
      <c r="B37" s="201"/>
      <c r="D37" s="60"/>
      <c r="E37" s="5"/>
      <c r="F37" s="1"/>
      <c r="G37" s="1"/>
      <c r="H37" s="204"/>
      <c r="M37" s="1"/>
    </row>
    <row r="38" spans="1:13" ht="17.25" x14ac:dyDescent="0.3">
      <c r="M38" s="1"/>
    </row>
    <row r="39" spans="1:13" ht="18" x14ac:dyDescent="0.3">
      <c r="A39" s="73"/>
      <c r="C39" s="73"/>
      <c r="D39" s="73"/>
      <c r="F39" s="92" t="s">
        <v>125</v>
      </c>
      <c r="G39" s="73"/>
      <c r="H39" s="203">
        <f>H32</f>
        <v>39024</v>
      </c>
      <c r="J39" s="175"/>
      <c r="M39" s="1"/>
    </row>
    <row r="40" spans="1:13" ht="18.75" thickBot="1" x14ac:dyDescent="0.35">
      <c r="A40" s="73"/>
      <c r="B40" s="73"/>
      <c r="C40" s="73"/>
      <c r="E40" s="148"/>
      <c r="F40" s="92" t="s">
        <v>80</v>
      </c>
      <c r="G40" s="74">
        <v>0</v>
      </c>
      <c r="H40" s="4"/>
      <c r="J40" s="175"/>
      <c r="M40" s="1"/>
    </row>
    <row r="41" spans="1:13" ht="19.5" thickBot="1" x14ac:dyDescent="0.35">
      <c r="A41" s="1"/>
      <c r="B41" s="1"/>
      <c r="C41" s="1"/>
      <c r="D41" s="1"/>
      <c r="E41" s="1"/>
      <c r="F41" s="1"/>
      <c r="G41" s="75" t="s">
        <v>70</v>
      </c>
      <c r="H41" s="205">
        <f>H39</f>
        <v>39024</v>
      </c>
      <c r="K41" s="175"/>
      <c r="L41" s="1"/>
      <c r="M41" s="94"/>
    </row>
    <row r="42" spans="1:13" ht="17.25" x14ac:dyDescent="0.3">
      <c r="A42" s="1"/>
      <c r="B42" s="1"/>
      <c r="C42" s="1"/>
      <c r="D42" s="1"/>
      <c r="E42" s="1"/>
      <c r="F42" s="1"/>
      <c r="G42" s="1"/>
      <c r="H42" s="1"/>
    </row>
    <row r="43" spans="1:13" ht="17.25" x14ac:dyDescent="0.3">
      <c r="A43" s="78"/>
      <c r="B43" s="78"/>
      <c r="C43" s="78"/>
      <c r="D43" s="78"/>
      <c r="E43" s="78"/>
      <c r="F43" s="78"/>
      <c r="G43" s="78"/>
      <c r="H43" s="78"/>
      <c r="J43" s="5"/>
      <c r="K43" s="5"/>
      <c r="M43" s="1"/>
    </row>
    <row r="44" spans="1:13" ht="18" thickBot="1" x14ac:dyDescent="0.35">
      <c r="L44" s="1"/>
      <c r="M44" s="1"/>
    </row>
    <row r="45" spans="1:13" ht="19.5" thickBot="1" x14ac:dyDescent="0.35">
      <c r="A45" s="214" t="s">
        <v>67</v>
      </c>
      <c r="B45" s="215"/>
      <c r="C45" s="216"/>
      <c r="D45" s="1"/>
      <c r="E45" s="1"/>
      <c r="F45" s="1"/>
      <c r="G45" s="1"/>
      <c r="H45" s="1"/>
      <c r="J45" t="s">
        <v>111</v>
      </c>
      <c r="K45" t="s">
        <v>112</v>
      </c>
      <c r="L45" t="s">
        <v>113</v>
      </c>
      <c r="M45" t="s">
        <v>114</v>
      </c>
    </row>
    <row r="46" spans="1:13" ht="18" thickBot="1" x14ac:dyDescent="0.35">
      <c r="A46" s="145" t="s">
        <v>15</v>
      </c>
      <c r="B46" s="136"/>
      <c r="C46" s="136"/>
      <c r="D46" s="210"/>
      <c r="E46" s="211"/>
      <c r="F46" s="136" t="s">
        <v>71</v>
      </c>
      <c r="G46" s="211" t="s">
        <v>16</v>
      </c>
      <c r="H46" s="212" t="s">
        <v>93</v>
      </c>
      <c r="J46" s="169" t="s">
        <v>103</v>
      </c>
      <c r="K46" s="174">
        <v>20000</v>
      </c>
      <c r="L46" s="93">
        <v>1</v>
      </c>
      <c r="M46" s="171">
        <f t="shared" ref="M46:M53" si="1">K46*L46</f>
        <v>20000</v>
      </c>
    </row>
    <row r="47" spans="1:13" ht="17.25" x14ac:dyDescent="0.3">
      <c r="A47" s="14"/>
      <c r="B47" s="14"/>
      <c r="C47" s="14"/>
      <c r="D47" s="14"/>
      <c r="E47" s="166"/>
      <c r="F47" s="166"/>
      <c r="G47" s="139"/>
      <c r="H47" s="166"/>
      <c r="J47" s="128" t="s">
        <v>104</v>
      </c>
      <c r="K47" s="175">
        <v>3000</v>
      </c>
      <c r="L47">
        <v>4</v>
      </c>
      <c r="M47" s="172">
        <f t="shared" si="1"/>
        <v>12000</v>
      </c>
    </row>
    <row r="48" spans="1:13" ht="17.25" x14ac:dyDescent="0.3">
      <c r="A48" s="1" t="s">
        <v>130</v>
      </c>
      <c r="B48" s="4"/>
      <c r="C48" s="4"/>
      <c r="D48" s="1"/>
      <c r="E48" s="60"/>
      <c r="F48" s="60">
        <v>7500</v>
      </c>
      <c r="G48" s="3">
        <v>250</v>
      </c>
      <c r="H48" s="60">
        <f>G48*F48</f>
        <v>1875000</v>
      </c>
      <c r="J48" s="128" t="s">
        <v>105</v>
      </c>
      <c r="K48" s="175">
        <v>5000</v>
      </c>
      <c r="L48">
        <v>2</v>
      </c>
      <c r="M48" s="172">
        <f t="shared" si="1"/>
        <v>10000</v>
      </c>
    </row>
    <row r="49" spans="1:13" x14ac:dyDescent="0.25">
      <c r="J49" s="128" t="s">
        <v>106</v>
      </c>
      <c r="K49" s="175">
        <v>8000</v>
      </c>
      <c r="L49">
        <v>1</v>
      </c>
      <c r="M49" s="172">
        <f t="shared" si="1"/>
        <v>8000</v>
      </c>
    </row>
    <row r="50" spans="1:13" x14ac:dyDescent="0.25">
      <c r="J50" s="128" t="s">
        <v>110</v>
      </c>
      <c r="K50" s="175">
        <v>5000</v>
      </c>
      <c r="L50">
        <v>1</v>
      </c>
      <c r="M50" s="172">
        <f t="shared" si="1"/>
        <v>5000</v>
      </c>
    </row>
    <row r="51" spans="1:13" ht="18" thickBot="1" x14ac:dyDescent="0.35">
      <c r="A51" s="1"/>
      <c r="B51" s="1"/>
      <c r="C51" s="1"/>
      <c r="D51" s="1"/>
      <c r="E51" s="60"/>
      <c r="F51" s="60"/>
      <c r="G51" s="3"/>
      <c r="H51" s="60"/>
      <c r="J51" s="128" t="s">
        <v>107</v>
      </c>
      <c r="K51" s="175">
        <v>2000</v>
      </c>
      <c r="L51">
        <v>1</v>
      </c>
      <c r="M51" s="172">
        <f t="shared" si="1"/>
        <v>2000</v>
      </c>
    </row>
    <row r="52" spans="1:13" ht="18" thickBot="1" x14ac:dyDescent="0.35">
      <c r="A52" s="1"/>
      <c r="B52" s="1"/>
      <c r="C52" s="1"/>
      <c r="D52" s="1"/>
      <c r="E52" s="131"/>
      <c r="F52" s="62" t="s">
        <v>3</v>
      </c>
      <c r="G52" s="63">
        <f>SUM(G47:G50)</f>
        <v>250</v>
      </c>
      <c r="H52" s="98">
        <f>SUM(H47:H51)</f>
        <v>1875000</v>
      </c>
      <c r="J52" s="128" t="s">
        <v>108</v>
      </c>
      <c r="K52" s="175">
        <v>7000</v>
      </c>
      <c r="L52">
        <v>1</v>
      </c>
      <c r="M52" s="172">
        <f t="shared" si="1"/>
        <v>7000</v>
      </c>
    </row>
    <row r="53" spans="1:13" ht="15.75" thickBot="1" x14ac:dyDescent="0.3">
      <c r="J53" s="128" t="s">
        <v>109</v>
      </c>
      <c r="K53" s="175">
        <v>15000</v>
      </c>
      <c r="L53">
        <v>1</v>
      </c>
      <c r="M53" s="172">
        <f t="shared" si="1"/>
        <v>15000</v>
      </c>
    </row>
    <row r="54" spans="1:13" ht="19.5" thickBot="1" x14ac:dyDescent="0.35">
      <c r="A54" s="233" t="s">
        <v>37</v>
      </c>
      <c r="B54" s="219"/>
      <c r="C54" s="219"/>
      <c r="D54" s="219"/>
      <c r="E54" s="271">
        <f>H52</f>
        <v>1875000</v>
      </c>
      <c r="F54" s="272"/>
      <c r="G54" s="272"/>
      <c r="H54" s="273"/>
      <c r="I54" s="1"/>
      <c r="J54" s="170"/>
      <c r="K54" s="129"/>
      <c r="L54" s="129"/>
      <c r="M54" s="173">
        <f>SUM(M46:M53)</f>
        <v>79000</v>
      </c>
    </row>
    <row r="55" spans="1:13" ht="18.75" x14ac:dyDescent="0.3">
      <c r="A55" s="221" t="s">
        <v>90</v>
      </c>
      <c r="B55" s="220"/>
      <c r="C55" s="220"/>
      <c r="D55" s="220"/>
      <c r="E55" s="274" t="s">
        <v>122</v>
      </c>
      <c r="F55" s="274"/>
      <c r="G55" s="274"/>
      <c r="H55" s="274"/>
    </row>
    <row r="56" spans="1:13" ht="15.75" thickBot="1" x14ac:dyDescent="0.3"/>
    <row r="57" spans="1:13" ht="20.25" thickBot="1" x14ac:dyDescent="0.3">
      <c r="A57" s="232" t="s">
        <v>46</v>
      </c>
      <c r="B57" s="59"/>
      <c r="C57" s="59"/>
      <c r="D57" s="59"/>
      <c r="E57" s="59"/>
      <c r="F57" s="59"/>
      <c r="G57" s="59"/>
      <c r="H57" s="144"/>
    </row>
    <row r="59" spans="1:13" ht="17.25" x14ac:dyDescent="0.25">
      <c r="A59" s="141" t="s">
        <v>23</v>
      </c>
      <c r="B59" s="142"/>
      <c r="C59" s="142"/>
      <c r="D59" s="143"/>
      <c r="E59" s="235">
        <f>IF($E$55="Medium",IF($E$54&gt;Data!D48,IF($E$54&gt;Data!D49,IF($E$54&gt;Data!D50,IF($E$54&gt;Data!D51,IF($E$54&gt;Data!D52,IF($E$54&gt;Data!D53,IF($E$54&gt;Data!D54,IF($E$54&gt;Data!D55,IF($E$54&gt;Data!D56,IF($E$54&gt;Data!D57,IF($E$54&gt;Data!D58,Data!E59,Data!E58),Data!E57),Data!E56),Data!E55),Data!E54),Data!E53),Data!E52),Data!E51),Data!E50),Data!E49),Data!E48),IF($E$55="High",(IF($E$54&gt;Data!D29,IF($E$54&gt;Data!D30,IF($E$54&gt;Data!D31,IF($E$54&gt;Data!D32,IF($E$54&gt;Data!D33,IF($E$54&gt;Data!D34,IF($E$54&gt;Data!D35,IF($E$54&gt;Data!D36,IF($E$54&gt;Data!D37,IF($E$54&gt;Data!D38,IF($E$54&gt;Data!D39,Data!E40,Data!E39),Data!E37),Data!E36),Data!E35),Data!E34),Data!E33),Data!E52),Data!E32),Data!E31),Data!E30),Data!E29)),IF($E$55="Low",(IF($E$54&gt;Data!D67,IF($E$54&gt;Data!D68,IF($E$54&gt;Data!D69,IF($E$54&gt;Data!D70,IF($E$54&gt;Data!D71,IF($E$54&gt;Data!D72,IF($E$54&gt;Data!D73,IF($E$54&gt;Data!D74,IF($E$54&gt;Data!D75,IF($E$54&gt;Data!D76,IF($E$54&gt;Data!D77,Data!E78,Data!E77),Data!E76),Data!E75),Data!E74),Data!E73),Data!E72),Data!E71),Data!E70),Data!E69),Data!E68),Data!E67)))))</f>
        <v>110217.17</v>
      </c>
      <c r="F59" s="146"/>
      <c r="G59" s="146"/>
      <c r="H59" s="147"/>
    </row>
    <row r="60" spans="1:13" ht="17.25" x14ac:dyDescent="0.25">
      <c r="A60" s="151" t="s">
        <v>51</v>
      </c>
      <c r="B60" s="61"/>
      <c r="C60" s="61"/>
      <c r="D60" s="152"/>
      <c r="E60" s="236">
        <f>IF($E$55="Medium",($E$54-(VLOOKUP($E$59,Data!E48:G59,3,FALSE)))*(VLOOKUP($E$59,Data!E48:G59,2,FALSE)),IF($E$55="High",($E$54-(VLOOKUP($E$59,Data!E29:G40,3,FALSE)))*(VLOOKUP($E$59,Data!E29:G40,2,FALSE)),IF($E$55="Low",($E$54-(VLOOKUP($E$59,Data!E66:G78,3,FALSE)))*(VLOOKUP($E$59,Data!E66:G78,2,FALSE)))))</f>
        <v>137322.3879</v>
      </c>
      <c r="F60" s="79"/>
      <c r="G60" s="79"/>
      <c r="H60" s="156"/>
    </row>
    <row r="61" spans="1:13" ht="17.25" x14ac:dyDescent="0.25">
      <c r="A61" s="151"/>
      <c r="B61" s="61"/>
      <c r="C61" s="61"/>
      <c r="D61" s="152"/>
      <c r="E61" s="236">
        <f>E59+E60</f>
        <v>247539.55790000001</v>
      </c>
      <c r="F61" s="79"/>
      <c r="G61" s="79"/>
      <c r="H61" s="156"/>
    </row>
    <row r="62" spans="1:13" ht="17.25" x14ac:dyDescent="0.25">
      <c r="A62" s="151" t="s">
        <v>54</v>
      </c>
      <c r="B62" s="61"/>
      <c r="C62" s="61"/>
      <c r="D62" s="152"/>
      <c r="E62" s="237">
        <v>0</v>
      </c>
      <c r="F62" s="4"/>
      <c r="G62" s="4"/>
      <c r="H62" s="159"/>
    </row>
    <row r="63" spans="1:13" ht="18" x14ac:dyDescent="0.25">
      <c r="A63" s="153" t="s">
        <v>56</v>
      </c>
      <c r="B63" s="154"/>
      <c r="C63" s="154"/>
      <c r="D63" s="155"/>
      <c r="E63" s="238">
        <f>E61+E62</f>
        <v>247539.55790000001</v>
      </c>
      <c r="F63" s="157"/>
      <c r="G63" s="157"/>
      <c r="H63" s="158"/>
    </row>
    <row r="64" spans="1:13" ht="15.75" thickBot="1" x14ac:dyDescent="0.3"/>
    <row r="65" spans="1:11" ht="19.5" thickBot="1" x14ac:dyDescent="0.35">
      <c r="A65" s="234" t="s">
        <v>38</v>
      </c>
      <c r="B65" s="160"/>
      <c r="C65" s="160"/>
      <c r="D65" s="161"/>
      <c r="E65" s="118" t="s">
        <v>39</v>
      </c>
      <c r="F65" s="118" t="s">
        <v>129</v>
      </c>
      <c r="G65" s="138" t="s">
        <v>69</v>
      </c>
      <c r="H65" s="118" t="s">
        <v>128</v>
      </c>
    </row>
    <row r="66" spans="1:11" ht="17.25" x14ac:dyDescent="0.3">
      <c r="A66" s="84" t="s">
        <v>44</v>
      </c>
      <c r="B66" s="139" t="s">
        <v>45</v>
      </c>
      <c r="C66" s="139"/>
      <c r="D66" s="139"/>
      <c r="E66" s="114">
        <v>0.4</v>
      </c>
      <c r="F66" s="83">
        <f>$E$63*E66</f>
        <v>99015.823160000014</v>
      </c>
      <c r="G66" s="114">
        <v>0</v>
      </c>
      <c r="H66" s="115">
        <f>IF(G66=0,F66,F66-(F66*G66))</f>
        <v>99015.823160000014</v>
      </c>
    </row>
    <row r="67" spans="1:11" ht="17.25" x14ac:dyDescent="0.3">
      <c r="A67" s="88" t="s">
        <v>47</v>
      </c>
      <c r="B67" s="3" t="s">
        <v>48</v>
      </c>
      <c r="C67" s="3"/>
      <c r="D67" s="3"/>
      <c r="E67" s="116">
        <v>0.2</v>
      </c>
      <c r="F67" s="5">
        <f>$E$63*E67</f>
        <v>49507.911580000007</v>
      </c>
      <c r="G67" s="116">
        <v>0</v>
      </c>
      <c r="H67" s="87">
        <f>IF(G67=0,F67,F67-(F67*G67))</f>
        <v>49507.911580000007</v>
      </c>
    </row>
    <row r="68" spans="1:11" ht="17.25" x14ac:dyDescent="0.3">
      <c r="A68" s="88" t="s">
        <v>59</v>
      </c>
      <c r="B68" s="3" t="s">
        <v>49</v>
      </c>
      <c r="C68" s="3"/>
      <c r="D68" s="3"/>
      <c r="E68" s="116">
        <v>0.1</v>
      </c>
      <c r="F68" s="5">
        <f>$E$63*E68</f>
        <v>24753.955790000004</v>
      </c>
      <c r="G68" s="116">
        <v>1</v>
      </c>
      <c r="H68" s="87">
        <f>IF(G68=0,F68,F68-(F68*G68))</f>
        <v>0</v>
      </c>
    </row>
    <row r="69" spans="1:11" ht="18" thickBot="1" x14ac:dyDescent="0.35">
      <c r="A69" s="89" t="s">
        <v>52</v>
      </c>
      <c r="B69" s="140" t="s">
        <v>53</v>
      </c>
      <c r="C69" s="140"/>
      <c r="D69" s="140"/>
      <c r="E69" s="117">
        <v>0.3</v>
      </c>
      <c r="F69" s="85">
        <f>$E$63*E69</f>
        <v>74261.867370000007</v>
      </c>
      <c r="G69" s="117">
        <v>1</v>
      </c>
      <c r="H69" s="86">
        <f>IF(G69=0,F69,F69-(F69*G69))</f>
        <v>0</v>
      </c>
    </row>
    <row r="70" spans="1:11" ht="18" thickBot="1" x14ac:dyDescent="0.35">
      <c r="A70" s="1"/>
      <c r="B70" s="1"/>
      <c r="C70" s="1"/>
      <c r="F70" s="1"/>
      <c r="G70" s="139"/>
      <c r="H70" s="1"/>
    </row>
    <row r="71" spans="1:11" ht="19.5" thickBot="1" x14ac:dyDescent="0.35">
      <c r="A71" s="1"/>
      <c r="B71" s="1"/>
      <c r="C71" s="1"/>
      <c r="E71" s="264" t="s">
        <v>97</v>
      </c>
      <c r="F71" s="265"/>
      <c r="G71" s="266"/>
      <c r="H71" s="124">
        <f>H72*(1-(SUM(H66:H69)/H72))</f>
        <v>99015.823160000014</v>
      </c>
    </row>
    <row r="72" spans="1:11" ht="19.5" thickBot="1" x14ac:dyDescent="0.35">
      <c r="B72" s="119"/>
      <c r="C72" s="119"/>
      <c r="E72" s="264" t="s">
        <v>55</v>
      </c>
      <c r="F72" s="265"/>
      <c r="G72" s="266"/>
      <c r="H72" s="124">
        <f>SUM(F66:F69)</f>
        <v>247539.55790000001</v>
      </c>
    </row>
    <row r="73" spans="1:11" ht="15.75" thickBot="1" x14ac:dyDescent="0.3"/>
    <row r="74" spans="1:11" ht="18.75" thickBot="1" x14ac:dyDescent="0.3">
      <c r="E74" s="267" t="s">
        <v>126</v>
      </c>
      <c r="F74" s="268"/>
      <c r="G74" s="269"/>
      <c r="H74" s="120">
        <f>H72-H71</f>
        <v>148523.73473999999</v>
      </c>
    </row>
    <row r="75" spans="1:11" ht="17.25" x14ac:dyDescent="0.3">
      <c r="A75" s="1"/>
      <c r="B75" s="207"/>
      <c r="C75" s="207"/>
      <c r="D75" s="207"/>
      <c r="E75" s="60"/>
      <c r="F75" s="189"/>
      <c r="G75" s="4"/>
      <c r="H75" s="79"/>
    </row>
    <row r="76" spans="1:11" ht="17.25" x14ac:dyDescent="0.3">
      <c r="A76" s="1"/>
      <c r="B76" s="1"/>
      <c r="C76" s="1"/>
      <c r="D76" s="1"/>
      <c r="E76" s="60"/>
      <c r="F76" s="60"/>
      <c r="G76" s="3"/>
      <c r="H76" s="60"/>
    </row>
    <row r="77" spans="1:11" ht="17.25" x14ac:dyDescent="0.3">
      <c r="A77" s="1"/>
      <c r="B77" s="1"/>
      <c r="C77" s="1"/>
      <c r="D77" s="1"/>
      <c r="E77" s="60"/>
      <c r="F77" s="60"/>
      <c r="G77" s="3"/>
      <c r="H77" s="60"/>
    </row>
    <row r="79" spans="1:11" x14ac:dyDescent="0.25">
      <c r="I79" s="176"/>
      <c r="J79" s="188"/>
      <c r="K79" s="187"/>
    </row>
    <row r="90" spans="10:12" ht="22.5" customHeight="1" x14ac:dyDescent="0.25"/>
    <row r="93" spans="10:12" ht="17.25" x14ac:dyDescent="0.3">
      <c r="J93" s="5"/>
    </row>
    <row r="94" spans="10:12" ht="17.25" x14ac:dyDescent="0.3">
      <c r="J94" s="5"/>
      <c r="K94" s="94"/>
      <c r="L94" s="94"/>
    </row>
    <row r="95" spans="10:12" ht="17.25" x14ac:dyDescent="0.3">
      <c r="J95" s="5"/>
      <c r="K95" s="94"/>
      <c r="L95" s="94"/>
    </row>
    <row r="96" spans="10:12" ht="17.25" x14ac:dyDescent="0.3">
      <c r="J96" s="5"/>
      <c r="K96" s="94"/>
      <c r="L96" s="94"/>
    </row>
    <row r="98" spans="4:11" x14ac:dyDescent="0.25">
      <c r="J98" s="122"/>
    </row>
    <row r="101" spans="4:11" x14ac:dyDescent="0.25">
      <c r="K101" s="123"/>
    </row>
    <row r="102" spans="4:11" x14ac:dyDescent="0.25">
      <c r="K102" s="121"/>
    </row>
    <row r="103" spans="4:11" x14ac:dyDescent="0.25">
      <c r="D103" s="270"/>
      <c r="E103" s="270"/>
    </row>
    <row r="104" spans="4:11" x14ac:dyDescent="0.25">
      <c r="D104" s="270"/>
      <c r="E104" s="270"/>
    </row>
    <row r="105" spans="4:11" x14ac:dyDescent="0.25">
      <c r="D105" s="270"/>
      <c r="E105" s="270"/>
    </row>
  </sheetData>
  <mergeCells count="16">
    <mergeCell ref="A20:B20"/>
    <mergeCell ref="E72:G72"/>
    <mergeCell ref="E74:G74"/>
    <mergeCell ref="D104:E104"/>
    <mergeCell ref="D105:E105"/>
    <mergeCell ref="D103:E103"/>
    <mergeCell ref="E71:G71"/>
    <mergeCell ref="E54:H54"/>
    <mergeCell ref="E55:H55"/>
    <mergeCell ref="J15:L15"/>
    <mergeCell ref="J18:L18"/>
    <mergeCell ref="B17:C17"/>
    <mergeCell ref="A11:H11"/>
    <mergeCell ref="A13:C13"/>
    <mergeCell ref="A14:C14"/>
    <mergeCell ref="A15:B15"/>
  </mergeCells>
  <dataValidations count="2">
    <dataValidation type="list" allowBlank="1" showInputMessage="1" showErrorMessage="1" sqref="E55" xr:uid="{ECF54CF7-43CA-4261-8A26-6CBCF5480061}">
      <formula1>"Low,Medium,High"</formula1>
    </dataValidation>
    <dataValidation type="list" allowBlank="1" showInputMessage="1" showErrorMessage="1" sqref="D33:D37 D16:D21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zoomScale="85" zoomScaleNormal="85" workbookViewId="0">
      <selection activeCell="J13" sqref="J13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34</v>
      </c>
      <c r="C3" s="14"/>
      <c r="D3" s="14"/>
      <c r="E3" s="15"/>
      <c r="G3" s="4">
        <v>9</v>
      </c>
    </row>
    <row r="4" spans="2:23" ht="18" thickBot="1" x14ac:dyDescent="0.35">
      <c r="B4" s="16" t="s">
        <v>35</v>
      </c>
      <c r="C4" s="17" t="s">
        <v>36</v>
      </c>
      <c r="D4" s="22"/>
      <c r="E4" s="8" t="s">
        <v>4</v>
      </c>
      <c r="F4" s="70" t="s">
        <v>64</v>
      </c>
      <c r="G4" s="1" t="s">
        <v>77</v>
      </c>
      <c r="H4" s="81" t="s">
        <v>19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672</v>
      </c>
      <c r="G5" s="5">
        <f>F5*G3</f>
        <v>6048</v>
      </c>
      <c r="H5" s="82">
        <f>G5+E5</f>
        <v>9821</v>
      </c>
    </row>
    <row r="7" spans="2:23" ht="18" thickBot="1" x14ac:dyDescent="0.35">
      <c r="B7" s="1" t="s">
        <v>91</v>
      </c>
    </row>
    <row r="8" spans="2:23" ht="18" thickBot="1" x14ac:dyDescent="0.35">
      <c r="M8"/>
      <c r="N8" s="28" t="s">
        <v>38</v>
      </c>
      <c r="O8" s="28"/>
      <c r="P8" s="29" t="s">
        <v>39</v>
      </c>
      <c r="Q8" s="28" t="s">
        <v>40</v>
      </c>
      <c r="R8" s="28" t="s">
        <v>41</v>
      </c>
      <c r="S8" s="28" t="s">
        <v>42</v>
      </c>
      <c r="U8" s="28" t="s">
        <v>43</v>
      </c>
      <c r="V8"/>
      <c r="W8"/>
    </row>
    <row r="9" spans="2:23" ht="18" thickBot="1" x14ac:dyDescent="0.35">
      <c r="B9" s="26" t="s">
        <v>37</v>
      </c>
      <c r="C9" s="27">
        <v>3240000</v>
      </c>
      <c r="M9"/>
      <c r="N9" s="67" t="s">
        <v>44</v>
      </c>
      <c r="O9" s="9" t="s">
        <v>45</v>
      </c>
      <c r="P9" s="31">
        <v>0.4</v>
      </c>
      <c r="Q9" s="32">
        <f>C18*P9</f>
        <v>153063.38892000003</v>
      </c>
      <c r="R9" s="33">
        <v>0</v>
      </c>
      <c r="S9" s="34">
        <f>Q9-W9</f>
        <v>153063.38892000003</v>
      </c>
      <c r="U9" s="35" t="s">
        <v>17</v>
      </c>
      <c r="V9"/>
      <c r="W9" s="36">
        <f>Q9*R9</f>
        <v>0</v>
      </c>
    </row>
    <row r="10" spans="2:23" x14ac:dyDescent="0.3">
      <c r="B10" s="1" t="s">
        <v>90</v>
      </c>
      <c r="C10" s="3" t="s">
        <v>122</v>
      </c>
      <c r="M10"/>
      <c r="N10" s="65" t="s">
        <v>47</v>
      </c>
      <c r="O10" s="38" t="s">
        <v>48</v>
      </c>
      <c r="P10" s="39">
        <v>0.2</v>
      </c>
      <c r="Q10" s="40">
        <f>C18*P10</f>
        <v>76531.694460000013</v>
      </c>
      <c r="R10" s="41">
        <v>0</v>
      </c>
      <c r="S10" s="42">
        <f>Q10-W10</f>
        <v>76531.694460000013</v>
      </c>
      <c r="U10" s="43" t="s">
        <v>17</v>
      </c>
      <c r="V10"/>
      <c r="W10" s="44">
        <f>Q10*R10</f>
        <v>0</v>
      </c>
    </row>
    <row r="11" spans="2:23" x14ac:dyDescent="0.3">
      <c r="M11"/>
      <c r="N11" s="65" t="s">
        <v>59</v>
      </c>
      <c r="O11" s="38" t="s">
        <v>49</v>
      </c>
      <c r="P11" s="39">
        <v>0.1</v>
      </c>
      <c r="Q11" s="40">
        <f>C18*P11</f>
        <v>38265.847230000007</v>
      </c>
      <c r="R11" s="41">
        <v>0</v>
      </c>
      <c r="S11" s="42">
        <f>Q11-W11</f>
        <v>38265.847230000007</v>
      </c>
      <c r="U11" s="43" t="s">
        <v>50</v>
      </c>
      <c r="V11"/>
      <c r="W11" s="44">
        <f>Q11*R11</f>
        <v>0</v>
      </c>
    </row>
    <row r="12" spans="2:23" ht="18" thickBot="1" x14ac:dyDescent="0.35">
      <c r="M12"/>
      <c r="N12" s="66" t="s">
        <v>52</v>
      </c>
      <c r="O12" s="20" t="s">
        <v>53</v>
      </c>
      <c r="P12" s="46">
        <v>0.3</v>
      </c>
      <c r="Q12" s="19">
        <f>C18*P12</f>
        <v>114797.54169</v>
      </c>
      <c r="R12" s="47">
        <v>0</v>
      </c>
      <c r="S12" s="21">
        <f>Q12-W12</f>
        <v>114797.54169</v>
      </c>
      <c r="U12" s="48" t="s">
        <v>50</v>
      </c>
      <c r="V12"/>
      <c r="W12" s="49">
        <f>Q12*R12</f>
        <v>0</v>
      </c>
    </row>
    <row r="13" spans="2:23" ht="18" thickBot="1" x14ac:dyDescent="0.35">
      <c r="B13" s="277" t="s">
        <v>46</v>
      </c>
      <c r="C13" s="278"/>
      <c r="M13"/>
      <c r="V13"/>
      <c r="W13"/>
    </row>
    <row r="14" spans="2:23" ht="18" thickBot="1" x14ac:dyDescent="0.35">
      <c r="B14" s="30" t="s">
        <v>23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261510.57</v>
      </c>
      <c r="M14"/>
      <c r="N14" s="275" t="s">
        <v>55</v>
      </c>
      <c r="O14" s="276"/>
      <c r="P14" s="55"/>
      <c r="Q14" s="51">
        <f>SUM(Q9:Q12)</f>
        <v>382658.47230000002</v>
      </c>
      <c r="R14" s="45"/>
      <c r="S14" s="20"/>
      <c r="V14"/>
      <c r="W14"/>
    </row>
    <row r="15" spans="2:23" ht="18" thickBot="1" x14ac:dyDescent="0.35">
      <c r="B15" s="37" t="s">
        <v>51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121147.90229999999</v>
      </c>
      <c r="M15"/>
      <c r="N15" s="28" t="s">
        <v>57</v>
      </c>
      <c r="O15" s="6"/>
      <c r="P15" s="6"/>
      <c r="Q15" s="6"/>
      <c r="R15" s="7" t="s">
        <v>58</v>
      </c>
      <c r="S15" s="53">
        <f>SUM(S9:S12)</f>
        <v>382658.47230000002</v>
      </c>
      <c r="V15"/>
      <c r="W15"/>
    </row>
    <row r="16" spans="2:23" x14ac:dyDescent="0.3">
      <c r="B16" s="37"/>
      <c r="C16" s="42">
        <f>C14+C15</f>
        <v>382658.47230000002</v>
      </c>
    </row>
    <row r="17" spans="2:12" ht="18" thickBot="1" x14ac:dyDescent="0.35">
      <c r="B17" s="45" t="s">
        <v>54</v>
      </c>
      <c r="C17" s="50">
        <v>0</v>
      </c>
    </row>
    <row r="18" spans="2:12" ht="18" thickBot="1" x14ac:dyDescent="0.35">
      <c r="B18" s="54" t="s">
        <v>56</v>
      </c>
      <c r="C18" s="52">
        <f>C16+C17</f>
        <v>382658.47230000002</v>
      </c>
    </row>
    <row r="24" spans="2:12" x14ac:dyDescent="0.3">
      <c r="B24" s="279" t="s">
        <v>20</v>
      </c>
      <c r="C24" s="279"/>
      <c r="D24" s="279"/>
      <c r="E24" s="279"/>
      <c r="F24" s="279"/>
      <c r="G24" s="279"/>
    </row>
    <row r="25" spans="2:12" x14ac:dyDescent="0.3">
      <c r="B25" s="280" t="s">
        <v>21</v>
      </c>
      <c r="C25" s="280" t="s">
        <v>22</v>
      </c>
      <c r="D25" s="280"/>
      <c r="E25" s="280" t="s">
        <v>23</v>
      </c>
      <c r="F25" s="280" t="s">
        <v>24</v>
      </c>
      <c r="G25" s="280"/>
      <c r="J25" s="194" t="s">
        <v>92</v>
      </c>
      <c r="K25" s="195">
        <f>IF($C$9&gt;D29,IF($C$9&gt;D30,IF($C$9&gt;D31,IF($C$9&gt;D32,IF($C$9&gt;D33,IF($C$9&gt;D34,IF($C$9&gt;D35,IF($C$9&gt;D36,IF($C$9&gt;D37,IF($C$9&gt;D38,IF($C$9&gt;D39,E40,E39),E37),E36),E35),E34),E33),100),E32),E31),E30),E29)</f>
        <v>364263.1</v>
      </c>
      <c r="L25" s="196">
        <f>VLOOKUP(K25,E29:G40,2,FALSE)</f>
        <v>0.1361</v>
      </c>
    </row>
    <row r="26" spans="2:12" x14ac:dyDescent="0.3">
      <c r="B26" s="280"/>
      <c r="C26" s="10"/>
      <c r="D26" s="10"/>
      <c r="E26" s="280"/>
      <c r="F26" s="10"/>
      <c r="G26" s="10"/>
      <c r="J26" s="77"/>
      <c r="L26" s="197">
        <f>VLOOKUP(K25,E29:G40,3,FALSE)</f>
        <v>2000001</v>
      </c>
    </row>
    <row r="27" spans="2:12" x14ac:dyDescent="0.3">
      <c r="B27" s="280"/>
      <c r="C27" s="10" t="s">
        <v>25</v>
      </c>
      <c r="D27" s="10" t="s">
        <v>26</v>
      </c>
      <c r="E27" s="280"/>
      <c r="F27" s="10" t="s">
        <v>27</v>
      </c>
      <c r="G27" s="10" t="s">
        <v>28</v>
      </c>
      <c r="J27" s="198"/>
      <c r="K27" s="199"/>
      <c r="L27" s="200">
        <f>(C9-L26)*L25</f>
        <v>168763.8639</v>
      </c>
    </row>
    <row r="28" spans="2:12" x14ac:dyDescent="0.3">
      <c r="B28" s="280"/>
      <c r="C28" s="10" t="s">
        <v>29</v>
      </c>
      <c r="D28" s="10" t="s">
        <v>30</v>
      </c>
      <c r="E28" s="10" t="s">
        <v>31</v>
      </c>
      <c r="F28" s="10" t="s">
        <v>32</v>
      </c>
      <c r="G28" s="10" t="s">
        <v>33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14249.82</v>
      </c>
      <c r="F29" s="13">
        <v>0.22020000000000001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58288.24</v>
      </c>
      <c r="F30" s="13">
        <v>0.2117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153523.63</v>
      </c>
      <c r="F31" s="13">
        <v>0.15609999999999999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364263.1</v>
      </c>
      <c r="F32" s="13">
        <v>0.1361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636438.06999999995</v>
      </c>
      <c r="F33" s="13">
        <v>0.13250000000000001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967738.13</v>
      </c>
      <c r="F34" s="13">
        <v>0.11509999999999999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1715380.21</v>
      </c>
      <c r="F35" s="13">
        <v>0.11119999999999999</v>
      </c>
      <c r="G35" s="12">
        <v>13000001</v>
      </c>
      <c r="K35" s="91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4718284</v>
      </c>
      <c r="F36" s="13">
        <v>0.11119999999999999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14721703.949999999</v>
      </c>
      <c r="F37" s="13">
        <v>0.10390000000000001</v>
      </c>
      <c r="G37" s="12">
        <v>130000001</v>
      </c>
      <c r="K37" s="91"/>
    </row>
    <row r="38" spans="2:12" x14ac:dyDescent="0.3">
      <c r="B38" s="11">
        <v>10</v>
      </c>
      <c r="C38" s="12">
        <v>260000001</v>
      </c>
      <c r="D38" s="12">
        <v>520000000</v>
      </c>
      <c r="E38" s="12">
        <v>28238356.02</v>
      </c>
      <c r="F38" s="13">
        <v>0.1016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54654882.619999997</v>
      </c>
      <c r="F39" s="13">
        <v>9.9000000000000005E-2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90"/>
      <c r="E40" s="12">
        <v>106144722.59</v>
      </c>
      <c r="F40" s="13">
        <v>9.1600000000000001E-2</v>
      </c>
      <c r="G40" s="12">
        <v>1040000001</v>
      </c>
    </row>
    <row r="43" spans="2:12" x14ac:dyDescent="0.3">
      <c r="B43" s="58" t="s">
        <v>60</v>
      </c>
      <c r="C43" s="58"/>
      <c r="D43" s="58"/>
      <c r="E43" s="58"/>
      <c r="F43" s="58"/>
      <c r="G43" s="58"/>
    </row>
    <row r="44" spans="2:12" x14ac:dyDescent="0.3">
      <c r="B44" s="10" t="s">
        <v>21</v>
      </c>
      <c r="C44" s="10" t="s">
        <v>22</v>
      </c>
      <c r="D44" s="10"/>
      <c r="E44" s="10" t="s">
        <v>23</v>
      </c>
      <c r="F44" s="208" t="s">
        <v>24</v>
      </c>
      <c r="G44" s="209"/>
      <c r="J44" s="194" t="s">
        <v>92</v>
      </c>
      <c r="K44" s="195">
        <f>IF($C$9&gt;D48,IF($C$9&gt;D49,IF($C$9&gt;D50,IF($C$9&gt;D51,IF($C$9&gt;D52,IF($C$9&gt;D53,IF($C$9&gt;D54,IF($C$9&gt;D55,IF($C$9&gt;D56,IF($C$9&gt;D57,IF($C$9&gt;D58,E59,E58),E57),E56),E55),E54),E53),100),E51),E50),E49),E48)</f>
        <v>312886.84000000003</v>
      </c>
      <c r="L44" s="196">
        <f>VLOOKUP(K44,E48:G59,2,FALSE)</f>
        <v>0.1169</v>
      </c>
    </row>
    <row r="45" spans="2:12" x14ac:dyDescent="0.3">
      <c r="B45" s="10"/>
      <c r="C45" s="10"/>
      <c r="D45" s="10"/>
      <c r="E45" s="10"/>
      <c r="F45" s="10"/>
      <c r="G45" s="10"/>
      <c r="J45" s="77"/>
      <c r="L45" s="197">
        <f>VLOOKUP(K44,E48:G59,3,FALSE)</f>
        <v>2000001</v>
      </c>
    </row>
    <row r="46" spans="2:12" x14ac:dyDescent="0.3">
      <c r="B46" s="10"/>
      <c r="C46" s="10" t="s">
        <v>25</v>
      </c>
      <c r="D46" s="10" t="s">
        <v>26</v>
      </c>
      <c r="E46" s="10"/>
      <c r="F46" s="10" t="s">
        <v>27</v>
      </c>
      <c r="G46" s="10" t="s">
        <v>28</v>
      </c>
      <c r="J46" s="198"/>
      <c r="K46" s="199"/>
      <c r="L46" s="200">
        <f>(C9-L45)*L44</f>
        <v>144955.88310000001</v>
      </c>
    </row>
    <row r="47" spans="2:12" x14ac:dyDescent="0.3">
      <c r="B47" s="10"/>
      <c r="C47" s="10" t="s">
        <v>29</v>
      </c>
      <c r="D47" s="10" t="s">
        <v>30</v>
      </c>
      <c r="E47" s="10" t="s">
        <v>31</v>
      </c>
      <c r="F47" s="10" t="s">
        <v>32</v>
      </c>
      <c r="G47" s="10" t="s">
        <v>33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12240</v>
      </c>
      <c r="F48" s="13">
        <v>0.18909999999999999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50067.17</v>
      </c>
      <c r="F49" s="13">
        <v>0.18179999999999999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131870.39000000001</v>
      </c>
      <c r="F50" s="13">
        <v>0.1341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312886.84000000003</v>
      </c>
      <c r="F51" s="13">
        <v>0.1169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546673.78</v>
      </c>
      <c r="F52" s="13">
        <v>0.1138</v>
      </c>
      <c r="G52" s="12">
        <v>4000001</v>
      </c>
      <c r="K52" s="5"/>
      <c r="L52" s="96"/>
    </row>
    <row r="53" spans="2:12" x14ac:dyDescent="0.3">
      <c r="B53" s="11">
        <v>6</v>
      </c>
      <c r="C53" s="12">
        <v>6500001</v>
      </c>
      <c r="D53" s="12">
        <v>13000000</v>
      </c>
      <c r="E53" s="68">
        <v>831246.74</v>
      </c>
      <c r="F53" s="13">
        <v>9.8799999999999999E-2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1473440.14</v>
      </c>
      <c r="F54" s="13">
        <v>9.5600000000000004E-2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4052809.42</v>
      </c>
      <c r="F55" s="13">
        <v>9.5500000000000002E-2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12645330.470000001</v>
      </c>
      <c r="F56" s="13">
        <v>8.9399999999999993E-2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24255571.57</v>
      </c>
      <c r="F57" s="13">
        <v>8.7300000000000003E-2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46946267.549999997</v>
      </c>
      <c r="F58" s="13">
        <v>8.5099999999999995E-2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90"/>
      <c r="E59" s="12">
        <v>91173895.319999993</v>
      </c>
      <c r="F59" s="13">
        <v>7.8600000000000003E-2</v>
      </c>
      <c r="G59" s="12">
        <v>1040000001</v>
      </c>
    </row>
    <row r="60" spans="2:12" x14ac:dyDescent="0.3">
      <c r="B60" s="97"/>
      <c r="C60" s="191"/>
      <c r="D60" s="192"/>
      <c r="E60" s="191"/>
      <c r="F60" s="193"/>
      <c r="G60" s="191"/>
      <c r="L60" s="56"/>
    </row>
    <row r="61" spans="2:12" x14ac:dyDescent="0.3">
      <c r="K61" s="91"/>
      <c r="L61" s="64"/>
    </row>
    <row r="62" spans="2:12" x14ac:dyDescent="0.3">
      <c r="B62" s="58" t="s">
        <v>121</v>
      </c>
      <c r="C62" s="58"/>
      <c r="D62" s="58"/>
      <c r="E62" s="58"/>
      <c r="F62" s="58"/>
      <c r="G62" s="58"/>
    </row>
    <row r="63" spans="2:12" x14ac:dyDescent="0.3">
      <c r="B63" s="10" t="s">
        <v>21</v>
      </c>
      <c r="C63" s="10" t="s">
        <v>22</v>
      </c>
      <c r="D63" s="10"/>
      <c r="E63" s="10" t="s">
        <v>23</v>
      </c>
      <c r="F63" s="208" t="s">
        <v>24</v>
      </c>
      <c r="G63" s="209"/>
      <c r="J63" s="194" t="s">
        <v>92</v>
      </c>
      <c r="K63" s="195">
        <f>IF($C$9&gt;D67,IF($C$9&gt;D68,IF($C$9&gt;D69,IF($C$9&gt;D70,IF($C$9&gt;D71,IF($C$9&gt;D72,IF($C$9&gt;D73,IF($C$9&gt;D74,IF($C$9&gt;D75,IF($C$9&gt;D76,IF($C$9&gt;D77,E78,E77),E76),E75),E74),E73),E72),100),E70),E69),E68),E67)</f>
        <v>261510.57</v>
      </c>
      <c r="L63" s="196">
        <f>VLOOKUP(K63,E67:G78,2,FALSE)</f>
        <v>9.7699999999999995E-2</v>
      </c>
    </row>
    <row r="64" spans="2:12" x14ac:dyDescent="0.3">
      <c r="B64" s="10"/>
      <c r="C64" s="10"/>
      <c r="D64" s="10"/>
      <c r="E64" s="10"/>
      <c r="F64" s="10"/>
      <c r="G64" s="10"/>
      <c r="J64" s="77"/>
      <c r="L64" s="197">
        <f>VLOOKUP(K63,E67:G78,3,FALSE)</f>
        <v>2000001</v>
      </c>
    </row>
    <row r="65" spans="2:12" x14ac:dyDescent="0.3">
      <c r="B65" s="10"/>
      <c r="C65" s="10" t="s">
        <v>25</v>
      </c>
      <c r="D65" s="10" t="s">
        <v>26</v>
      </c>
      <c r="E65" s="10"/>
      <c r="F65" s="10" t="s">
        <v>27</v>
      </c>
      <c r="G65" s="10" t="s">
        <v>28</v>
      </c>
      <c r="J65" s="198"/>
      <c r="K65" s="199" t="s">
        <v>123</v>
      </c>
      <c r="L65" s="200">
        <f>(C9-L64)*L63</f>
        <v>121147.90229999999</v>
      </c>
    </row>
    <row r="66" spans="2:12" x14ac:dyDescent="0.3">
      <c r="B66" s="10"/>
      <c r="C66" s="10" t="s">
        <v>29</v>
      </c>
      <c r="D66" s="10" t="s">
        <v>30</v>
      </c>
      <c r="E66" s="10" t="s">
        <v>31</v>
      </c>
      <c r="F66" s="10" t="s">
        <v>32</v>
      </c>
      <c r="G66" s="10" t="s">
        <v>33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10230.18</v>
      </c>
      <c r="F67" s="13">
        <v>0.15809999999999999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41846.1</v>
      </c>
      <c r="F68" s="13">
        <v>0.152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110217.17</v>
      </c>
      <c r="F69" s="13">
        <v>0.11210000000000001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261510.57</v>
      </c>
      <c r="F70" s="13">
        <v>9.7699999999999995E-2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456909.51</v>
      </c>
      <c r="F71" s="13">
        <v>9.5200000000000007E-2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694755.35</v>
      </c>
      <c r="F72" s="13">
        <v>8.2600000000000007E-2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1231500.08</v>
      </c>
      <c r="F73" s="13">
        <v>7.9899999999999999E-2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3387334.84</v>
      </c>
      <c r="F74" s="13">
        <v>7.9799999999999996E-2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10568956.99</v>
      </c>
      <c r="F75" s="13">
        <v>7.4700000000000003E-2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20272787.120000001</v>
      </c>
      <c r="F76" s="13">
        <v>7.2900000000000006E-2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39237652.490000002</v>
      </c>
      <c r="F77" s="13">
        <v>7.1099999999999997E-2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90"/>
      <c r="E78" s="12">
        <v>76203068.030000001</v>
      </c>
      <c r="F78" s="13">
        <v>6.5699999999999995E-2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</cp:lastModifiedBy>
  <cp:lastPrinted>2022-09-21T07:15:25Z</cp:lastPrinted>
  <dcterms:created xsi:type="dcterms:W3CDTF">2022-07-11T17:42:49Z</dcterms:created>
  <dcterms:modified xsi:type="dcterms:W3CDTF">2023-06-28T08:31:10Z</dcterms:modified>
</cp:coreProperties>
</file>