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- G Squared\Spekboom Development_Humansdorp\"/>
    </mc:Choice>
  </mc:AlternateContent>
  <xr:revisionPtr revIDLastSave="0" documentId="13_ncr:1_{04A699E8-95EC-45EB-B1CE-4C701385805B}" xr6:coauthVersionLast="47" xr6:coauthVersionMax="47" xr10:uidLastSave="{00000000-0000-0000-0000-000000000000}"/>
  <bookViews>
    <workbookView xWindow="-120" yWindow="-120" windowWidth="29040" windowHeight="1584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3" i="3" l="1"/>
  <c r="Q49" i="3"/>
  <c r="Q47" i="3"/>
  <c r="Q48" i="3"/>
  <c r="O57" i="3"/>
  <c r="O56" i="3"/>
  <c r="O49" i="3"/>
  <c r="O48" i="3"/>
  <c r="O51" i="3"/>
  <c r="O52" i="3"/>
  <c r="O55" i="3"/>
  <c r="O53" i="3"/>
  <c r="O54" i="3"/>
  <c r="O47" i="3"/>
  <c r="L50" i="3"/>
  <c r="F31" i="3"/>
  <c r="H31" i="3" s="1"/>
  <c r="E31" i="3"/>
  <c r="L43" i="3"/>
  <c r="H54" i="3"/>
  <c r="H83" i="3"/>
  <c r="N71" i="3"/>
  <c r="N70" i="3"/>
  <c r="N69" i="3"/>
  <c r="N68" i="3"/>
  <c r="N67" i="3"/>
  <c r="N66" i="3"/>
  <c r="N65" i="3"/>
  <c r="N64" i="3"/>
  <c r="H53" i="3"/>
  <c r="F32" i="3"/>
  <c r="F30" i="3"/>
  <c r="F29" i="3"/>
  <c r="F25" i="3"/>
  <c r="F24" i="3"/>
  <c r="F23" i="3"/>
  <c r="F22" i="3"/>
  <c r="G21" i="3"/>
  <c r="E23" i="3"/>
  <c r="P21" i="1"/>
  <c r="I15" i="1"/>
  <c r="J15" i="1" s="1"/>
  <c r="D21" i="1" s="1"/>
  <c r="H21" i="1" s="1"/>
  <c r="J21" i="1" s="1"/>
  <c r="F21" i="2"/>
  <c r="H46" i="3"/>
  <c r="G49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K83" i="3" l="1"/>
  <c r="N72" i="3"/>
  <c r="H23" i="3"/>
  <c r="F28" i="3"/>
  <c r="F21" i="3"/>
  <c r="L21" i="1"/>
  <c r="D5" i="4"/>
  <c r="D7" i="4" s="1"/>
  <c r="H45" i="3"/>
  <c r="M49" i="2"/>
  <c r="S42" i="2"/>
  <c r="N49" i="2"/>
  <c r="F49" i="3"/>
  <c r="G28" i="3"/>
  <c r="N21" i="3" s="1"/>
  <c r="H51" i="3"/>
  <c r="H52" i="3"/>
  <c r="O41" i="2"/>
  <c r="O23" i="2"/>
  <c r="M51" i="2"/>
  <c r="M52" i="2"/>
  <c r="M27" i="2"/>
  <c r="E85" i="3" l="1"/>
  <c r="E90" i="3" s="1"/>
  <c r="E91" i="3" s="1"/>
  <c r="F5" i="4"/>
  <c r="H50" i="3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92" i="3" l="1"/>
  <c r="E94" i="3" s="1"/>
  <c r="K5" i="4"/>
  <c r="I5" i="4" s="1"/>
  <c r="D8" i="4" s="1"/>
  <c r="H20" i="1"/>
  <c r="H19" i="1"/>
  <c r="J19" i="1" s="1"/>
  <c r="F100" i="3"/>
  <c r="I100" i="3" s="1"/>
  <c r="F97" i="3"/>
  <c r="F99" i="3"/>
  <c r="I99" i="3" s="1"/>
  <c r="F98" i="3"/>
  <c r="I98" i="3" s="1"/>
  <c r="U77" i="2"/>
  <c r="T88" i="2"/>
  <c r="T92" i="2"/>
  <c r="U100" i="2"/>
  <c r="H56" i="3"/>
  <c r="O50" i="2"/>
  <c r="O29" i="2"/>
  <c r="O28" i="2"/>
  <c r="O24" i="2"/>
  <c r="F29" i="2"/>
  <c r="H57" i="3" l="1"/>
  <c r="H58" i="3"/>
  <c r="J20" i="1"/>
  <c r="L19" i="1"/>
  <c r="L70" i="2"/>
  <c r="M70" i="2" s="1"/>
  <c r="N70" i="2" s="1"/>
  <c r="I103" i="3"/>
  <c r="I97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2" i="3" l="1"/>
  <c r="H32" i="3" s="1"/>
  <c r="E30" i="3"/>
  <c r="E29" i="3"/>
  <c r="H29" i="3" s="1"/>
  <c r="E24" i="3"/>
  <c r="H24" i="3" s="1"/>
  <c r="E25" i="3"/>
  <c r="H25" i="3" s="1"/>
  <c r="L20" i="1"/>
  <c r="E22" i="3"/>
  <c r="H22" i="3" s="1"/>
  <c r="I102" i="3"/>
  <c r="I105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H21" i="3" l="1"/>
  <c r="Z79" i="2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0" i="3" l="1"/>
  <c r="H28" i="3" s="1"/>
  <c r="F35" i="3" s="1"/>
  <c r="H35" i="3" l="1"/>
  <c r="H36" i="3" s="1"/>
  <c r="H37" i="3" s="1"/>
  <c r="M41" i="3" l="1"/>
  <c r="M42" i="3"/>
  <c r="M40" i="3"/>
  <c r="K28" i="3"/>
  <c r="N24" i="3"/>
  <c r="M43" i="3" l="1"/>
  <c r="L28" i="3"/>
  <c r="M28" i="3" s="1"/>
  <c r="O28" i="3" s="1"/>
  <c r="N28" i="3" s="1"/>
  <c r="N30" i="3" l="1"/>
  <c r="N33" i="3" s="1"/>
  <c r="D9" i="4" l="1"/>
</calcChain>
</file>

<file path=xl/sharedStrings.xml><?xml version="1.0" encoding="utf-8"?>
<sst xmlns="http://schemas.openxmlformats.org/spreadsheetml/2006/main" count="355" uniqueCount="203">
  <si>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</si>
  <si>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</si>
  <si>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</si>
  <si>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</si>
  <si>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</si>
  <si>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</si>
  <si>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</si>
  <si>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</si>
  <si>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</si>
  <si>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</si>
  <si>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</si>
  <si>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</si>
  <si>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</si>
  <si>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</si>
  <si>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</si>
  <si>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</si>
  <si>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</si>
  <si>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</si>
  <si>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</si>
  <si>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</si>
  <si>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</si>
  <si>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</si>
  <si>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</si>
  <si>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</si>
  <si>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</si>
  <si>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</si>
  <si>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</si>
  <si>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</si>
  <si>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</si>
  <si>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</si>
  <si>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</si>
  <si>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</si>
  <si>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</si>
  <si>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</si>
  <si>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</si>
  <si>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</si>
  <si>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</si>
  <si>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</si>
  <si>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</si>
  <si>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</si>
  <si>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</si>
  <si>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</si>
  <si>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</si>
  <si>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</si>
  <si>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</si>
  <si>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</si>
  <si>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</si>
  <si>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</si>
  <si>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</si>
  <si>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</si>
  <si>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</si>
  <si>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</si>
  <si>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</si>
  <si>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</si>
  <si>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</si>
  <si>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</si>
  <si>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</si>
  <si>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</si>
  <si>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</si>
  <si>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</si>
  <si>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</si>
  <si>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</si>
  <si>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</si>
  <si>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</si>
  <si>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</si>
  <si>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</si>
  <si>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</si>
  <si>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</si>
  <si>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</si>
  <si>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</si>
  <si>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</si>
  <si>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</si>
  <si>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</si>
  <si>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</si>
  <si>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</si>
  <si>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</si>
  <si>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</si>
  <si>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</si>
  <si>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</si>
  <si>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</si>
  <si>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</si>
  <si>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</si>
  <si>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</si>
  <si>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</si>
  <si>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</si>
  <si>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</si>
  <si>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</si>
  <si>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</si>
  <si>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</si>
  <si>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</si>
  <si>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</si>
  <si>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</si>
  <si>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</si>
  <si>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</si>
  <si>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</si>
  <si>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</si>
  <si>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</si>
  <si>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</si>
  <si>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</si>
  <si>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</si>
  <si>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</si>
  <si>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</si>
  <si>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</si>
  <si>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</si>
  <si>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</si>
  <si>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</si>
  <si>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</si>
  <si>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</si>
  <si>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</si>
  <si>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</si>
  <si>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</si>
  <si>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</si>
  <si>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</si>
  <si>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</si>
  <si>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</si>
  <si>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</si>
  <si>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</si>
  <si>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</si>
  <si>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</si>
  <si>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</si>
  <si>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</si>
  <si>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Drawing As-builts</t>
  </si>
  <si>
    <t>Drawing 3D - SketchUp</t>
  </si>
  <si>
    <t>Project Daily Rate</t>
  </si>
  <si>
    <t>Discount:</t>
  </si>
  <si>
    <t>Total Professional Fees:</t>
  </si>
  <si>
    <t>Phase 2:</t>
  </si>
  <si>
    <t>Phase  1 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</si>
  <si>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</si>
  <si>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</si>
  <si>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</si>
  <si>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</si>
  <si>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</si>
  <si>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</si>
  <si>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</si>
  <si>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</si>
  <si>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</si>
  <si>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</si>
  <si>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</si>
  <si>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</si>
  <si>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</si>
  <si>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</si>
  <si>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</si>
  <si>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</si>
  <si>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</si>
  <si>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</si>
  <si>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</si>
  <si>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</si>
  <si>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</si>
  <si>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</si>
  <si>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</si>
  <si>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</si>
  <si>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</si>
  <si>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</si>
  <si>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</si>
  <si>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</si>
  <si>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</si>
  <si>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</si>
  <si>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 xml:space="preserve">Design </t>
  </si>
  <si>
    <t>2D and Concept 3d</t>
  </si>
  <si>
    <t>Measure &amp; Redraw Existing</t>
  </si>
  <si>
    <t>2d and Conceptual 3d</t>
  </si>
  <si>
    <t>Design (affected area)</t>
  </si>
  <si>
    <t>Municipal Drawings (existing areas)</t>
  </si>
  <si>
    <t>Municipal Drawings (Affected areas)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</si>
  <si>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</si>
  <si>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</si>
  <si>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</si>
  <si>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</si>
  <si>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</si>
  <si>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</si>
  <si>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</si>
  <si>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</si>
  <si>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</si>
  <si>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</si>
  <si>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</si>
  <si>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</si>
  <si>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</si>
  <si>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</si>
  <si>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</si>
  <si>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</si>
  <si>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</si>
  <si>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</si>
  <si>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</si>
  <si>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</si>
  <si>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UNITS</t>
  </si>
  <si>
    <t>QTY</t>
  </si>
  <si>
    <t>m² PER UNIT</t>
  </si>
  <si>
    <t>Type A</t>
  </si>
  <si>
    <t>Type B</t>
  </si>
  <si>
    <t>COURT:</t>
  </si>
  <si>
    <t>VILLAS:</t>
  </si>
  <si>
    <t>2x Bedroom</t>
  </si>
  <si>
    <t>3x Bedroom</t>
  </si>
  <si>
    <t>Type B.1</t>
  </si>
  <si>
    <t>Type B.2</t>
  </si>
  <si>
    <t>Type C.1</t>
  </si>
  <si>
    <t>Type C.2</t>
  </si>
  <si>
    <t>2x Bedroom, 2x per floor</t>
  </si>
  <si>
    <t>Build Rate</t>
  </si>
  <si>
    <t>1x Bedroom, 4x per floor.</t>
  </si>
  <si>
    <t>Unit Price:</t>
  </si>
  <si>
    <t>Total Build: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</si>
</sst>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8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4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0" fontId="4" fillId="0" borderId="25" xfId="0" applyFont="1" applyBorder="1"/>
    <xf numFmtId="164" fontId="4" fillId="0" borderId="24" xfId="0" applyNumberFormat="1" applyFont="1" applyBorder="1"/>
    <xf numFmtId="0" fontId="3" fillId="0" borderId="0" xfId="0" applyFont="1" applyAlignment="1">
      <alignment horizontal="center" vertical="center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72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16" fillId="12" borderId="5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0" fontId="25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84" xfId="0" applyFont="1" applyBorder="1"/>
    <xf numFmtId="9" fontId="3" fillId="0" borderId="84" xfId="0" applyNumberFormat="1" applyFont="1" applyBorder="1"/>
    <xf numFmtId="164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9" fontId="8" fillId="10" borderId="0" xfId="3" applyFont="1" applyFill="1" applyBorder="1" applyAlignment="1">
      <alignment horizontal="left"/>
    </xf>
    <xf numFmtId="0" fontId="0" fillId="10" borderId="0" xfId="0" applyFill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4" fillId="0" borderId="0" xfId="3" applyNumberFormat="1" applyFont="1" applyAlignment="1">
      <alignment horizontal="center" vertical="center"/>
    </xf>
    <xf numFmtId="164" fontId="8" fillId="0" borderId="14" xfId="0" applyNumberFormat="1" applyFont="1" applyBorder="1"/>
    <xf numFmtId="164" fontId="8" fillId="0" borderId="84" xfId="0" applyNumberFormat="1" applyFont="1" applyBorder="1"/>
    <xf numFmtId="164" fontId="8" fillId="0" borderId="13" xfId="0" applyNumberFormat="1" applyFont="1" applyBorder="1"/>
    <xf numFmtId="0" fontId="8" fillId="0" borderId="83" xfId="0" applyFont="1" applyBorder="1"/>
    <xf numFmtId="164" fontId="8" fillId="0" borderId="15" xfId="0" applyNumberFormat="1" applyFont="1" applyBorder="1"/>
    <xf numFmtId="0" fontId="4" fillId="0" borderId="1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164" fontId="4" fillId="0" borderId="38" xfId="0" applyNumberFormat="1" applyFont="1" applyBorder="1" applyAlignment="1">
      <alignment horizontal="left"/>
    </xf>
    <xf numFmtId="164" fontId="4" fillId="0" borderId="73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7" workbookViewId="0">
      <selection activeCell="L19" sqref="L19:O1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19.28515625" style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1:13" x14ac:dyDescent="0.3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13" x14ac:dyDescent="0.3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</row>
    <row r="4" spans="1:13" x14ac:dyDescent="0.3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</row>
    <row r="5" spans="1:13" x14ac:dyDescent="0.3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287"/>
    </row>
    <row r="6" spans="1:13" x14ac:dyDescent="0.3">
      <c r="A6" s="287"/>
      <c r="B6" s="287"/>
      <c r="C6" s="287"/>
      <c r="D6" s="287"/>
      <c r="E6" s="287"/>
      <c r="F6" s="287"/>
      <c r="G6" s="287"/>
      <c r="H6" s="287"/>
      <c r="I6" s="287"/>
      <c r="J6" s="287"/>
      <c r="K6" s="287"/>
    </row>
    <row r="7" spans="1:13" x14ac:dyDescent="0.3">
      <c r="A7" s="287"/>
      <c r="B7" s="287"/>
      <c r="C7" s="287"/>
      <c r="D7" s="287"/>
      <c r="E7" s="287"/>
      <c r="F7" s="287"/>
      <c r="G7" s="287"/>
      <c r="H7" s="287"/>
      <c r="I7" s="287"/>
      <c r="J7" s="287"/>
      <c r="K7" s="287"/>
    </row>
    <row r="8" spans="1:13" x14ac:dyDescent="0.3">
      <c r="A8" s="287"/>
      <c r="B8" s="287"/>
      <c r="C8" s="287"/>
      <c r="D8" s="287"/>
      <c r="E8" s="287"/>
      <c r="F8" s="287"/>
      <c r="G8" s="287"/>
      <c r="H8" s="287"/>
      <c r="I8" s="287"/>
      <c r="J8" s="287"/>
      <c r="K8" s="287"/>
    </row>
    <row r="9" spans="1:13" x14ac:dyDescent="0.3">
      <c r="A9" s="287"/>
      <c r="B9" s="287"/>
      <c r="C9" s="287"/>
      <c r="D9" s="287"/>
      <c r="E9" s="287"/>
      <c r="F9" s="287"/>
      <c r="G9" s="287"/>
      <c r="H9" s="287"/>
      <c r="I9" s="287"/>
      <c r="J9" s="287"/>
      <c r="K9" s="287"/>
    </row>
    <row r="10" spans="1:13" x14ac:dyDescent="0.3">
      <c r="A10" s="287"/>
      <c r="B10" s="287"/>
      <c r="C10" s="287"/>
      <c r="D10" s="287"/>
      <c r="E10" s="287"/>
      <c r="F10" s="287"/>
      <c r="G10" s="287"/>
      <c r="H10" s="287"/>
      <c r="I10" s="287"/>
      <c r="J10" s="287"/>
      <c r="K10" s="287"/>
    </row>
    <row r="11" spans="1:13" ht="21" thickBot="1" x14ac:dyDescent="0.35">
      <c r="A11" s="285" t="s">
        <v>8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M11" s="8"/>
    </row>
    <row r="12" spans="1:13" ht="18.75" customHeight="1" thickBot="1" x14ac:dyDescent="0.35">
      <c r="A12" s="166" t="s">
        <v>143</v>
      </c>
      <c r="B12" s="292" t="s">
        <v>1</v>
      </c>
      <c r="C12" s="292"/>
      <c r="D12" s="165" t="s">
        <v>0</v>
      </c>
      <c r="E12" s="303" t="s">
        <v>2</v>
      </c>
      <c r="F12" s="303"/>
      <c r="G12" s="303"/>
      <c r="H12" s="302" t="s">
        <v>12</v>
      </c>
      <c r="I12" s="302"/>
      <c r="J12" s="288" t="s">
        <v>5</v>
      </c>
      <c r="K12" s="289"/>
    </row>
    <row r="13" spans="1:13" x14ac:dyDescent="0.3">
      <c r="A13" s="5">
        <v>1</v>
      </c>
      <c r="B13" s="296" t="s">
        <v>6</v>
      </c>
      <c r="C13" s="296"/>
      <c r="D13" s="1" t="s">
        <v>3</v>
      </c>
      <c r="E13" s="6"/>
      <c r="F13" s="291">
        <v>40870</v>
      </c>
      <c r="G13" s="291"/>
      <c r="H13" s="7">
        <v>0.15</v>
      </c>
      <c r="I13" s="6">
        <f>F13*H13</f>
        <v>6130.5</v>
      </c>
      <c r="J13" s="290">
        <f>F13+I13</f>
        <v>47000.5</v>
      </c>
      <c r="K13" s="290"/>
      <c r="M13" s="6"/>
    </row>
    <row r="14" spans="1:13" x14ac:dyDescent="0.3">
      <c r="A14" s="5">
        <v>2</v>
      </c>
      <c r="B14" s="293" t="s">
        <v>7</v>
      </c>
      <c r="C14" s="293"/>
      <c r="D14" s="1" t="s">
        <v>3</v>
      </c>
      <c r="F14" s="294">
        <v>38000</v>
      </c>
      <c r="G14" s="294"/>
      <c r="H14" s="7">
        <v>0.15</v>
      </c>
      <c r="I14" s="6">
        <f>F14*H14</f>
        <v>5700</v>
      </c>
      <c r="J14" s="291">
        <f>F14+I14</f>
        <v>43700</v>
      </c>
      <c r="K14" s="291"/>
    </row>
    <row r="15" spans="1:13" x14ac:dyDescent="0.3">
      <c r="A15" s="5">
        <v>3</v>
      </c>
      <c r="B15" s="300" t="s">
        <v>152</v>
      </c>
      <c r="C15" s="300"/>
      <c r="D15" s="1" t="s">
        <v>151</v>
      </c>
      <c r="F15" s="294">
        <v>24000</v>
      </c>
      <c r="G15" s="294"/>
      <c r="H15" s="7">
        <v>0.15</v>
      </c>
      <c r="I15" s="6">
        <f>F15*H15</f>
        <v>3600</v>
      </c>
      <c r="J15" s="291">
        <f>F15+I15</f>
        <v>27600</v>
      </c>
      <c r="K15" s="291"/>
      <c r="L15" s="1" t="s">
        <v>153</v>
      </c>
    </row>
    <row r="16" spans="1:13" x14ac:dyDescent="0.3">
      <c r="A16" s="5"/>
    </row>
    <row r="17" spans="1:17" ht="21" thickBot="1" x14ac:dyDescent="0.35">
      <c r="A17" s="298" t="s">
        <v>9</v>
      </c>
      <c r="B17" s="298"/>
      <c r="C17" s="298"/>
      <c r="D17" s="298"/>
      <c r="E17" s="298"/>
      <c r="F17" s="298"/>
      <c r="G17" s="298"/>
      <c r="H17" s="298"/>
      <c r="I17" s="298"/>
      <c r="J17" s="298"/>
      <c r="K17" s="298"/>
    </row>
    <row r="18" spans="1:17" ht="18" thickBot="1" x14ac:dyDescent="0.35">
      <c r="A18" s="154" t="s">
        <v>143</v>
      </c>
      <c r="B18" s="295" t="s">
        <v>10</v>
      </c>
      <c r="C18" s="295"/>
      <c r="D18" s="297" t="s">
        <v>13</v>
      </c>
      <c r="E18" s="297"/>
      <c r="F18" s="295" t="s">
        <v>11</v>
      </c>
      <c r="G18" s="295"/>
      <c r="H18" s="167" t="s">
        <v>144</v>
      </c>
      <c r="I18" s="168" t="s">
        <v>98</v>
      </c>
      <c r="J18" s="299" t="s">
        <v>14</v>
      </c>
      <c r="K18" s="299"/>
      <c r="L18" s="198" t="s">
        <v>99</v>
      </c>
      <c r="M18" s="195"/>
      <c r="N18" s="196"/>
      <c r="O18" s="197"/>
    </row>
    <row r="19" spans="1:17" x14ac:dyDescent="0.3">
      <c r="A19" s="5">
        <v>1</v>
      </c>
      <c r="B19" s="293">
        <v>21</v>
      </c>
      <c r="C19" s="293"/>
      <c r="D19" s="304">
        <f>J13/B19</f>
        <v>2238.1190476190477</v>
      </c>
      <c r="E19" s="304"/>
      <c r="F19" s="293">
        <v>8</v>
      </c>
      <c r="G19" s="293"/>
      <c r="H19" s="127">
        <f>D19/F19</f>
        <v>279.76488095238096</v>
      </c>
      <c r="I19" s="2">
        <v>2.4</v>
      </c>
      <c r="J19" s="305">
        <f>ROUNDUP(H19*I19,-0.5)</f>
        <v>672</v>
      </c>
      <c r="K19" s="305"/>
      <c r="L19" s="301">
        <f>J19*F19</f>
        <v>5376</v>
      </c>
      <c r="M19" s="301"/>
      <c r="N19" s="301"/>
      <c r="O19" s="301"/>
      <c r="P19" s="1" t="s">
        <v>150</v>
      </c>
      <c r="Q19" s="1" t="s">
        <v>3</v>
      </c>
    </row>
    <row r="20" spans="1:17" x14ac:dyDescent="0.3">
      <c r="A20" s="5">
        <v>2</v>
      </c>
      <c r="B20" s="293">
        <v>21</v>
      </c>
      <c r="C20" s="293"/>
      <c r="D20" s="304">
        <f>J14/B20</f>
        <v>2080.9523809523807</v>
      </c>
      <c r="E20" s="304"/>
      <c r="F20" s="293">
        <v>8</v>
      </c>
      <c r="G20" s="293"/>
      <c r="H20" s="127">
        <f>D20/F20</f>
        <v>260.11904761904759</v>
      </c>
      <c r="I20" s="2">
        <v>2.4</v>
      </c>
      <c r="J20" s="305">
        <f>ROUNDUP(H20*I20,-0.5)</f>
        <v>625</v>
      </c>
      <c r="K20" s="305"/>
      <c r="L20" s="301">
        <f>J20*F20</f>
        <v>5000</v>
      </c>
      <c r="M20" s="301"/>
      <c r="N20" s="301"/>
      <c r="O20" s="301"/>
      <c r="P20" s="1" t="s">
        <v>119</v>
      </c>
      <c r="Q20" s="1" t="s">
        <v>3</v>
      </c>
    </row>
    <row r="21" spans="1:17" x14ac:dyDescent="0.3">
      <c r="A21" s="5">
        <v>3</v>
      </c>
      <c r="B21" s="300">
        <v>21</v>
      </c>
      <c r="C21" s="300"/>
      <c r="D21" s="306">
        <f>J15/B21</f>
        <v>1314.2857142857142</v>
      </c>
      <c r="E21" s="300"/>
      <c r="F21" s="293">
        <v>8</v>
      </c>
      <c r="G21" s="293"/>
      <c r="H21" s="127">
        <f>D21/F21</f>
        <v>164.28571428571428</v>
      </c>
      <c r="I21" s="1">
        <v>2.4</v>
      </c>
      <c r="J21" s="305">
        <f>ROUNDUP(H21*I21,-0.5)</f>
        <v>395</v>
      </c>
      <c r="K21" s="305"/>
      <c r="L21" s="301">
        <f>J21*F21</f>
        <v>3160</v>
      </c>
      <c r="M21" s="301"/>
      <c r="N21" s="301"/>
      <c r="O21" s="301"/>
      <c r="P21" s="1" t="str">
        <f>B15</f>
        <v>Johan Hugo</v>
      </c>
      <c r="Q21" s="1" t="s">
        <v>154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3" t="s">
        <v>149</v>
      </c>
      <c r="B2" s="307" t="s">
        <v>155</v>
      </c>
      <c r="C2" s="307"/>
      <c r="D2" s="307"/>
      <c r="E2" s="307"/>
      <c r="F2" s="307"/>
      <c r="G2" s="201"/>
      <c r="H2" s="201"/>
      <c r="I2" s="161"/>
      <c r="J2" s="161"/>
      <c r="K2" s="161"/>
      <c r="L2" s="201"/>
      <c r="M2" s="202"/>
    </row>
    <row r="3" spans="1:19" ht="18" thickBot="1" x14ac:dyDescent="0.35">
      <c r="A3" s="199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08" t="s">
        <v>145</v>
      </c>
      <c r="B4" s="309"/>
      <c r="C4" s="309"/>
      <c r="D4" s="316" t="s">
        <v>135</v>
      </c>
      <c r="E4" s="316"/>
      <c r="F4" s="315" t="s">
        <v>130</v>
      </c>
      <c r="G4" s="315"/>
      <c r="H4" s="315"/>
      <c r="I4" s="315" t="s">
        <v>133</v>
      </c>
      <c r="J4" s="315"/>
      <c r="K4" s="312" t="s">
        <v>131</v>
      </c>
      <c r="L4" s="313"/>
      <c r="M4" s="314"/>
    </row>
    <row r="5" spans="1:19" ht="17.25" x14ac:dyDescent="0.3">
      <c r="A5" s="310">
        <v>0</v>
      </c>
      <c r="B5" s="311"/>
      <c r="C5" s="311"/>
      <c r="D5" s="306">
        <f>A5*0.05</f>
        <v>0</v>
      </c>
      <c r="E5" s="306"/>
      <c r="F5" s="306">
        <f>A5-D5</f>
        <v>0</v>
      </c>
      <c r="G5" s="306"/>
      <c r="H5" s="306"/>
      <c r="I5" s="311">
        <f>F5-K5</f>
        <v>0</v>
      </c>
      <c r="J5" s="311"/>
      <c r="K5" s="317">
        <f>F5/2.4</f>
        <v>0</v>
      </c>
      <c r="L5" s="317"/>
      <c r="M5" s="318"/>
    </row>
    <row r="6" spans="1:19" ht="18" thickBot="1" x14ac:dyDescent="0.35">
      <c r="A6" s="199"/>
      <c r="E6" s="163"/>
      <c r="G6" s="1"/>
      <c r="H6" s="1"/>
      <c r="L6" s="1"/>
      <c r="M6" s="20"/>
    </row>
    <row r="7" spans="1:19" ht="18" thickBot="1" x14ac:dyDescent="0.35">
      <c r="A7" s="308" t="s">
        <v>135</v>
      </c>
      <c r="B7" s="309"/>
      <c r="C7" s="309"/>
      <c r="D7" s="320">
        <f>D5</f>
        <v>0</v>
      </c>
      <c r="E7" s="321"/>
      <c r="H7" s="1"/>
      <c r="I7" s="1"/>
      <c r="J7" s="1"/>
      <c r="K7" s="1"/>
      <c r="L7" s="1"/>
      <c r="M7" s="20"/>
    </row>
    <row r="8" spans="1:19" ht="18" thickBot="1" x14ac:dyDescent="0.35">
      <c r="A8" s="308" t="s">
        <v>132</v>
      </c>
      <c r="B8" s="309"/>
      <c r="C8" s="309"/>
      <c r="D8" s="320">
        <f>I5*0.15</f>
        <v>0</v>
      </c>
      <c r="E8" s="321"/>
      <c r="I8" s="1"/>
      <c r="J8" s="1"/>
      <c r="K8" s="1"/>
      <c r="L8" s="1"/>
      <c r="M8" s="20"/>
    </row>
    <row r="9" spans="1:19" ht="18" thickBot="1" x14ac:dyDescent="0.35">
      <c r="A9" s="319" t="s">
        <v>148</v>
      </c>
      <c r="B9" s="313"/>
      <c r="C9" s="313"/>
      <c r="D9" s="320">
        <f>I5-D8</f>
        <v>0</v>
      </c>
      <c r="E9" s="321"/>
      <c r="F9" s="204"/>
      <c r="G9" s="204"/>
      <c r="H9" s="204"/>
      <c r="I9" s="21"/>
      <c r="J9" s="21"/>
      <c r="K9" s="21"/>
      <c r="L9" s="21"/>
      <c r="M9" s="200"/>
    </row>
    <row r="11" spans="1:19" ht="15.75" x14ac:dyDescent="0.25">
      <c r="A11" s="205"/>
      <c r="B11" s="206"/>
      <c r="C11" s="206"/>
      <c r="D11" s="206"/>
      <c r="E11" s="206"/>
      <c r="F11" s="206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07"/>
      <c r="B13" s="207"/>
      <c r="C13" s="207"/>
      <c r="D13" s="207"/>
      <c r="E13" s="207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10"/>
      <c r="B14" s="210"/>
      <c r="C14" s="210"/>
      <c r="D14" s="218"/>
      <c r="E14" s="218"/>
      <c r="F14" s="218"/>
      <c r="G14" s="218"/>
      <c r="H14" s="218"/>
      <c r="I14" s="218"/>
      <c r="J14" s="210"/>
      <c r="K14" s="210"/>
      <c r="L14" s="210"/>
      <c r="M14" s="210"/>
    </row>
    <row r="15" spans="1:19" ht="16.5" x14ac:dyDescent="0.3">
      <c r="A15" s="189"/>
      <c r="B15" s="189"/>
      <c r="C15" s="189"/>
      <c r="D15" s="218"/>
      <c r="E15" s="218"/>
      <c r="F15" s="218"/>
      <c r="G15" s="218"/>
      <c r="H15" s="218"/>
      <c r="I15" s="218"/>
      <c r="J15" s="189"/>
      <c r="K15" s="189"/>
      <c r="L15" s="189"/>
      <c r="M15" s="189"/>
      <c r="N15" s="189"/>
      <c r="O15" s="189"/>
      <c r="P15" s="189"/>
      <c r="Q15" s="189"/>
      <c r="R15" s="189"/>
      <c r="S15" s="189"/>
    </row>
    <row r="16" spans="1:19" ht="16.5" x14ac:dyDescent="0.3">
      <c r="A16" s="211"/>
      <c r="B16" s="211"/>
      <c r="C16" s="211"/>
      <c r="D16" s="218"/>
      <c r="E16" s="218"/>
      <c r="F16" s="218"/>
      <c r="G16" s="218"/>
      <c r="H16" s="218"/>
      <c r="I16" s="218"/>
      <c r="J16" s="189"/>
      <c r="K16" s="189"/>
      <c r="L16" s="189"/>
      <c r="M16" s="189"/>
      <c r="N16" s="189"/>
      <c r="O16" s="189"/>
      <c r="P16" s="189"/>
      <c r="Q16" s="189"/>
      <c r="R16" s="189"/>
      <c r="S16" s="189"/>
    </row>
    <row r="17" spans="1:19" ht="16.5" x14ac:dyDescent="0.3">
      <c r="A17" s="211"/>
      <c r="B17" s="211"/>
      <c r="C17" s="211"/>
      <c r="D17" s="218"/>
      <c r="E17" s="218"/>
      <c r="F17" s="218"/>
      <c r="G17" s="218"/>
      <c r="H17" s="218"/>
      <c r="I17" s="218"/>
      <c r="J17" s="189"/>
      <c r="K17" s="189"/>
      <c r="L17" s="189"/>
      <c r="M17" s="189"/>
      <c r="N17" s="189"/>
      <c r="O17" s="189"/>
      <c r="P17" s="189"/>
      <c r="Q17" s="189"/>
      <c r="R17" s="189"/>
      <c r="S17" s="189"/>
    </row>
    <row r="18" spans="1:19" ht="16.5" x14ac:dyDescent="0.3">
      <c r="A18" s="189"/>
      <c r="B18" s="189"/>
      <c r="C18" s="189"/>
      <c r="D18" s="218"/>
      <c r="E18" s="218"/>
      <c r="F18" s="218"/>
      <c r="G18" s="218"/>
      <c r="H18" s="218"/>
      <c r="I18" s="218"/>
      <c r="J18" s="189"/>
      <c r="K18" s="189"/>
      <c r="L18" s="189"/>
      <c r="M18" s="189"/>
      <c r="N18" s="189"/>
      <c r="O18" s="189"/>
      <c r="P18" s="189"/>
      <c r="Q18" s="189"/>
      <c r="R18" s="189"/>
      <c r="S18" s="189"/>
    </row>
    <row r="19" spans="1:19" ht="16.5" x14ac:dyDescent="0.3">
      <c r="A19" s="189"/>
      <c r="B19" s="189"/>
      <c r="C19" s="189"/>
      <c r="D19" s="218"/>
      <c r="E19" s="218"/>
      <c r="F19" s="218"/>
      <c r="G19" s="218"/>
      <c r="H19" s="218"/>
      <c r="I19" s="218"/>
      <c r="J19" s="189"/>
      <c r="K19" s="189"/>
      <c r="L19" s="189"/>
      <c r="M19" s="189"/>
      <c r="N19" s="189"/>
      <c r="O19" s="189"/>
      <c r="P19" s="189"/>
      <c r="Q19" s="189"/>
      <c r="R19" s="189"/>
      <c r="S19" s="189"/>
    </row>
    <row r="20" spans="1:19" ht="16.5" x14ac:dyDescent="0.3">
      <c r="A20" s="189"/>
      <c r="B20" s="189"/>
      <c r="C20" s="189"/>
      <c r="D20" s="218"/>
      <c r="E20" s="218"/>
      <c r="F20" s="218"/>
      <c r="G20" s="218"/>
      <c r="H20" s="218"/>
      <c r="I20" s="218"/>
      <c r="J20" s="208"/>
      <c r="K20" s="189"/>
      <c r="L20" s="189"/>
      <c r="M20" s="189"/>
      <c r="N20" s="189"/>
      <c r="O20" s="189"/>
      <c r="P20" s="189"/>
      <c r="Q20" s="189"/>
      <c r="R20" s="189"/>
      <c r="S20" s="189"/>
    </row>
    <row r="21" spans="1:19" ht="16.5" x14ac:dyDescent="0.3">
      <c r="A21" s="212"/>
      <c r="B21" s="212"/>
      <c r="C21" s="212"/>
      <c r="D21" s="218"/>
      <c r="E21" s="218"/>
      <c r="F21" s="218"/>
      <c r="G21" s="218"/>
      <c r="H21" s="218"/>
      <c r="I21" s="218"/>
      <c r="J21" s="208"/>
      <c r="K21" s="213"/>
      <c r="L21" s="213"/>
      <c r="M21" s="213"/>
      <c r="N21" s="189"/>
      <c r="O21" s="189"/>
      <c r="P21" s="189"/>
      <c r="Q21" s="189"/>
      <c r="R21" s="189"/>
      <c r="S21" s="189"/>
    </row>
    <row r="22" spans="1:19" ht="16.5" x14ac:dyDescent="0.3">
      <c r="A22" s="212"/>
      <c r="B22" s="212"/>
      <c r="C22" s="212"/>
      <c r="D22" s="218"/>
      <c r="E22" s="218"/>
      <c r="F22" s="218"/>
      <c r="G22" s="218"/>
      <c r="H22" s="218"/>
      <c r="I22" s="218"/>
      <c r="J22" s="209"/>
      <c r="K22" s="213"/>
      <c r="L22" s="213"/>
      <c r="M22" s="213"/>
      <c r="N22" s="189"/>
      <c r="O22" s="189"/>
      <c r="P22" s="189"/>
      <c r="Q22" s="189"/>
      <c r="R22" s="189"/>
      <c r="S22" s="189"/>
    </row>
    <row r="23" spans="1:19" ht="16.5" x14ac:dyDescent="0.3">
      <c r="A23" s="189"/>
      <c r="B23" s="189"/>
      <c r="C23" s="189"/>
      <c r="D23" s="189"/>
      <c r="E23" s="208"/>
      <c r="F23" s="208"/>
      <c r="G23" s="189"/>
      <c r="H23" s="208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</row>
    <row r="24" spans="1:19" ht="16.5" x14ac:dyDescent="0.3">
      <c r="A24" s="189"/>
      <c r="B24" s="189"/>
      <c r="C24" s="189"/>
      <c r="D24" s="189"/>
      <c r="E24" s="208"/>
      <c r="F24" s="208"/>
      <c r="G24" s="189"/>
      <c r="H24" s="208"/>
      <c r="I24" s="212"/>
      <c r="J24" s="209"/>
      <c r="K24" s="213"/>
      <c r="L24" s="213"/>
      <c r="M24" s="213"/>
      <c r="N24" s="189"/>
      <c r="O24" s="189"/>
      <c r="P24" s="189"/>
      <c r="Q24" s="189"/>
      <c r="R24" s="189"/>
      <c r="S24" s="189"/>
    </row>
    <row r="25" spans="1:19" ht="16.5" x14ac:dyDescent="0.3">
      <c r="A25" s="189"/>
      <c r="B25" s="189"/>
      <c r="C25" s="189"/>
      <c r="D25" s="189"/>
      <c r="E25" s="189"/>
      <c r="F25" s="208"/>
      <c r="G25" s="189"/>
      <c r="H25" s="208"/>
      <c r="I25" s="212"/>
      <c r="J25" s="209"/>
      <c r="K25" s="213"/>
      <c r="L25" s="213"/>
      <c r="M25" s="213"/>
      <c r="N25" s="189"/>
      <c r="O25" s="189"/>
      <c r="P25" s="189"/>
      <c r="Q25" s="189"/>
      <c r="R25" s="189"/>
      <c r="S25" s="189"/>
    </row>
    <row r="26" spans="1:19" ht="16.5" x14ac:dyDescent="0.3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</row>
    <row r="27" spans="1:19" ht="16.5" x14ac:dyDescent="0.3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</row>
    <row r="28" spans="1:19" ht="16.5" x14ac:dyDescent="0.3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210"/>
      <c r="S28" s="189"/>
    </row>
    <row r="29" spans="1:19" ht="16.5" x14ac:dyDescent="0.3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</row>
    <row r="30" spans="1:19" ht="16.5" x14ac:dyDescent="0.3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</row>
    <row r="31" spans="1:19" ht="16.5" x14ac:dyDescent="0.3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</row>
    <row r="32" spans="1:19" ht="16.5" x14ac:dyDescent="0.3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</row>
    <row r="33" spans="1:19" ht="16.5" x14ac:dyDescent="0.3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Q109"/>
  <sheetViews>
    <sheetView tabSelected="1" topLeftCell="B37" zoomScale="85" zoomScaleNormal="85" workbookViewId="0">
      <selection activeCell="P67" sqref="P67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  <col min="16" max="16" width="11.42578125" customWidth="1"/>
    <col min="17" max="17" width="17.5703125" customWidth="1"/>
  </cols>
  <sheetData>
    <row r="1" spans="1:14" ht="17.25" x14ac:dyDescent="0.3">
      <c r="A1" s="406"/>
      <c r="B1" s="406"/>
      <c r="C1" s="406"/>
      <c r="D1" s="406"/>
      <c r="E1" s="406"/>
      <c r="F1" s="406"/>
      <c r="G1" s="406"/>
      <c r="H1" s="406"/>
      <c r="I1" s="406"/>
      <c r="J1" s="105"/>
      <c r="K1" s="105"/>
      <c r="L1" s="1"/>
      <c r="M1" s="1"/>
      <c r="N1" s="1"/>
    </row>
    <row r="2" spans="1:14" ht="17.25" x14ac:dyDescent="0.3">
      <c r="A2" s="406"/>
      <c r="B2" s="406"/>
      <c r="C2" s="406"/>
      <c r="D2" s="406"/>
      <c r="E2" s="406"/>
      <c r="F2" s="406"/>
      <c r="G2" s="406"/>
      <c r="H2" s="406"/>
      <c r="I2" s="406"/>
      <c r="J2" s="1"/>
      <c r="K2" s="1"/>
      <c r="L2" s="1"/>
      <c r="M2" s="1"/>
      <c r="N2" s="1"/>
    </row>
    <row r="3" spans="1:14" ht="17.25" x14ac:dyDescent="0.3">
      <c r="A3" s="406"/>
      <c r="B3" s="406"/>
      <c r="C3" s="406"/>
      <c r="D3" s="406"/>
      <c r="E3" s="406"/>
      <c r="F3" s="406"/>
      <c r="G3" s="406"/>
      <c r="H3" s="406"/>
      <c r="I3" s="406"/>
      <c r="J3" s="1"/>
      <c r="K3" s="1"/>
      <c r="L3" s="1"/>
      <c r="M3" s="1"/>
      <c r="N3" s="1"/>
    </row>
    <row r="4" spans="1:14" ht="17.25" x14ac:dyDescent="0.3">
      <c r="A4" s="406"/>
      <c r="B4" s="406"/>
      <c r="C4" s="406"/>
      <c r="D4" s="406"/>
      <c r="E4" s="406"/>
      <c r="F4" s="406"/>
      <c r="G4" s="406"/>
      <c r="H4" s="406"/>
      <c r="I4" s="406"/>
      <c r="J4" s="2"/>
      <c r="K4" s="2"/>
      <c r="L4" s="1"/>
      <c r="M4" s="1"/>
      <c r="N4" s="1"/>
    </row>
    <row r="5" spans="1:14" ht="17.25" x14ac:dyDescent="0.3">
      <c r="A5" s="406"/>
      <c r="B5" s="406"/>
      <c r="C5" s="406"/>
      <c r="D5" s="406"/>
      <c r="E5" s="406"/>
      <c r="F5" s="406"/>
      <c r="G5" s="406"/>
      <c r="H5" s="406"/>
      <c r="I5" s="406"/>
      <c r="J5" s="2"/>
      <c r="K5" s="2"/>
      <c r="L5" s="1"/>
      <c r="M5" s="1"/>
      <c r="N5" s="1"/>
    </row>
    <row r="6" spans="1:14" ht="17.25" x14ac:dyDescent="0.3">
      <c r="A6" s="406"/>
      <c r="B6" s="406"/>
      <c r="C6" s="406"/>
      <c r="D6" s="406"/>
      <c r="E6" s="406"/>
      <c r="F6" s="406"/>
      <c r="G6" s="406"/>
      <c r="H6" s="406"/>
      <c r="I6" s="406"/>
      <c r="J6" s="2"/>
      <c r="K6" s="2"/>
      <c r="L6" s="1"/>
      <c r="M6" s="1"/>
      <c r="N6" s="1"/>
    </row>
    <row r="7" spans="1:14" ht="17.25" x14ac:dyDescent="0.3">
      <c r="A7" s="406"/>
      <c r="B7" s="406"/>
      <c r="C7" s="406"/>
      <c r="D7" s="406"/>
      <c r="E7" s="406"/>
      <c r="F7" s="406"/>
      <c r="G7" s="406"/>
      <c r="H7" s="406"/>
      <c r="I7" s="406"/>
      <c r="J7" s="2"/>
      <c r="K7" s="2"/>
      <c r="L7" s="1"/>
      <c r="M7" s="1"/>
      <c r="N7" s="1"/>
    </row>
    <row r="8" spans="1:14" ht="17.25" x14ac:dyDescent="0.3">
      <c r="A8" s="406"/>
      <c r="B8" s="406"/>
      <c r="C8" s="406"/>
      <c r="D8" s="406"/>
      <c r="E8" s="406"/>
      <c r="F8" s="406"/>
      <c r="G8" s="406"/>
      <c r="H8" s="406"/>
      <c r="I8" s="406"/>
      <c r="J8" s="1"/>
      <c r="K8" s="1"/>
      <c r="L8" s="1"/>
      <c r="M8" s="1"/>
      <c r="N8" s="1"/>
    </row>
    <row r="9" spans="1:14" ht="17.25" x14ac:dyDescent="0.3">
      <c r="A9" s="406"/>
      <c r="B9" s="406"/>
      <c r="C9" s="406"/>
      <c r="D9" s="406"/>
      <c r="E9" s="406"/>
      <c r="F9" s="406"/>
      <c r="G9" s="406"/>
      <c r="H9" s="406"/>
      <c r="I9" s="406"/>
      <c r="J9" s="2"/>
      <c r="K9" s="2"/>
      <c r="L9" s="1"/>
      <c r="M9" s="1"/>
      <c r="N9" s="1"/>
    </row>
    <row r="10" spans="1:14" ht="17.25" x14ac:dyDescent="0.3">
      <c r="A10" s="406"/>
      <c r="B10" s="406"/>
      <c r="C10" s="406"/>
      <c r="D10" s="406"/>
      <c r="E10" s="406"/>
      <c r="F10" s="406"/>
      <c r="G10" s="406"/>
      <c r="H10" s="406"/>
      <c r="I10" s="406"/>
      <c r="J10" s="2"/>
      <c r="K10" s="2"/>
      <c r="L10" s="1"/>
      <c r="M10" s="1"/>
      <c r="N10" s="1"/>
    </row>
    <row r="11" spans="1:14" ht="17.25" x14ac:dyDescent="0.3">
      <c r="A11" s="406"/>
      <c r="B11" s="406"/>
      <c r="C11" s="406"/>
      <c r="D11" s="406"/>
      <c r="E11" s="406"/>
      <c r="F11" s="406"/>
      <c r="G11" s="406"/>
      <c r="H11" s="406"/>
      <c r="I11" s="406"/>
      <c r="J11" s="2"/>
      <c r="K11" s="2"/>
      <c r="L11" s="1"/>
      <c r="M11" s="1"/>
      <c r="N11" s="1"/>
    </row>
    <row r="12" spans="1:14" ht="17.25" x14ac:dyDescent="0.3">
      <c r="A12" s="406"/>
      <c r="B12" s="406"/>
      <c r="C12" s="406"/>
      <c r="D12" s="406"/>
      <c r="E12" s="406"/>
      <c r="F12" s="406"/>
      <c r="G12" s="406"/>
      <c r="H12" s="406"/>
      <c r="I12" s="406"/>
      <c r="J12" s="2"/>
      <c r="K12" s="2"/>
      <c r="L12" s="1"/>
      <c r="M12" s="1"/>
      <c r="N12" s="1"/>
    </row>
    <row r="13" spans="1:14" ht="17.25" x14ac:dyDescent="0.3">
      <c r="A13" s="406"/>
      <c r="B13" s="406"/>
      <c r="C13" s="406"/>
      <c r="D13" s="406"/>
      <c r="E13" s="406"/>
      <c r="F13" s="406"/>
      <c r="G13" s="406"/>
      <c r="H13" s="406"/>
      <c r="I13" s="406"/>
      <c r="J13" s="1"/>
      <c r="K13" s="1"/>
      <c r="L13" s="1"/>
      <c r="M13" s="1"/>
      <c r="N13" s="1"/>
    </row>
    <row r="14" spans="1:14" ht="17.25" x14ac:dyDescent="0.3">
      <c r="A14" s="406"/>
      <c r="B14" s="406"/>
      <c r="C14" s="406"/>
      <c r="D14" s="406"/>
      <c r="E14" s="406"/>
      <c r="F14" s="406"/>
      <c r="G14" s="406"/>
      <c r="H14" s="406"/>
      <c r="I14" s="406"/>
      <c r="J14" s="1"/>
      <c r="K14" s="1"/>
      <c r="L14" s="1"/>
      <c r="M14" s="1"/>
      <c r="N14" s="1"/>
    </row>
    <row r="15" spans="1:14" ht="17.25" x14ac:dyDescent="0.3">
      <c r="A15" s="406"/>
      <c r="B15" s="406"/>
      <c r="C15" s="406"/>
      <c r="D15" s="406"/>
      <c r="E15" s="406"/>
      <c r="F15" s="406"/>
      <c r="G15" s="406"/>
      <c r="H15" s="406"/>
      <c r="I15" s="406"/>
      <c r="J15" s="1"/>
      <c r="L15" s="3"/>
      <c r="M15" s="1"/>
      <c r="N15" s="1"/>
    </row>
    <row r="16" spans="1:14" ht="18" thickBot="1" x14ac:dyDescent="0.35">
      <c r="A16" s="406"/>
      <c r="B16" s="406"/>
      <c r="C16" s="406"/>
      <c r="D16" s="406"/>
      <c r="E16" s="406"/>
      <c r="F16" s="406"/>
      <c r="G16" s="406"/>
      <c r="H16" s="406"/>
      <c r="I16" s="406"/>
      <c r="J16" s="2"/>
      <c r="K16" s="2"/>
      <c r="L16" s="3"/>
      <c r="M16" s="1"/>
      <c r="N16" s="1"/>
    </row>
    <row r="17" spans="1:15" ht="21" thickBot="1" x14ac:dyDescent="0.35">
      <c r="A17" s="407" t="s">
        <v>15</v>
      </c>
      <c r="B17" s="408"/>
      <c r="C17" s="408"/>
      <c r="D17" s="408"/>
      <c r="E17" s="408"/>
      <c r="F17" s="408"/>
      <c r="G17" s="408"/>
      <c r="H17" s="408"/>
      <c r="I17" s="409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96" t="s">
        <v>82</v>
      </c>
      <c r="B19" s="397"/>
      <c r="C19" s="398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99" t="s">
        <v>77</v>
      </c>
      <c r="B20" s="395"/>
      <c r="C20" s="395"/>
      <c r="D20" s="68" t="s">
        <v>79</v>
      </c>
      <c r="E20" s="68" t="s">
        <v>80</v>
      </c>
      <c r="F20" s="68" t="s">
        <v>78</v>
      </c>
      <c r="G20" s="111" t="s">
        <v>24</v>
      </c>
      <c r="H20" s="395" t="s">
        <v>5</v>
      </c>
      <c r="I20" s="395"/>
      <c r="J20" s="1"/>
      <c r="K20" s="1"/>
      <c r="L20" s="1"/>
      <c r="N20" s="3"/>
    </row>
    <row r="21" spans="1:15" ht="18" thickBot="1" x14ac:dyDescent="0.35">
      <c r="A21" s="400" t="s">
        <v>127</v>
      </c>
      <c r="B21" s="401"/>
      <c r="C21" s="114"/>
      <c r="D21" s="114"/>
      <c r="E21" s="120"/>
      <c r="F21" s="121">
        <f>SUM(F22:F26)</f>
        <v>28</v>
      </c>
      <c r="G21" s="226">
        <f>SUM(G22:G26)</f>
        <v>3.5</v>
      </c>
      <c r="H21" s="402">
        <f>SUM(H22:I26)</f>
        <v>17708</v>
      </c>
      <c r="I21" s="403"/>
      <c r="J21" s="1"/>
      <c r="K21" s="357" t="s">
        <v>103</v>
      </c>
      <c r="L21" s="358"/>
      <c r="M21" s="359"/>
      <c r="N21" s="227">
        <f>G28+G21</f>
        <v>5.2</v>
      </c>
    </row>
    <row r="22" spans="1:15" ht="17.25" x14ac:dyDescent="0.3">
      <c r="A22" s="136" t="s">
        <v>120</v>
      </c>
      <c r="B22" s="222" t="s">
        <v>157</v>
      </c>
      <c r="C22" s="43" t="s">
        <v>23</v>
      </c>
      <c r="D22" s="157" t="s">
        <v>150</v>
      </c>
      <c r="E22" s="92">
        <f>IF(D22="Dewald", Employees!$J$20,IF(D22="Hannes",Employees!$J$19,IF(D22="Johan",Employees!$J$21,"")))</f>
        <v>672</v>
      </c>
      <c r="F22" s="223">
        <f>G22*8</f>
        <v>4</v>
      </c>
      <c r="G22" s="224">
        <v>0.5</v>
      </c>
      <c r="H22" s="377">
        <f>F22*E22</f>
        <v>2688</v>
      </c>
      <c r="I22" s="378"/>
      <c r="J22" s="1"/>
      <c r="N22" s="3"/>
    </row>
    <row r="23" spans="1:15" ht="18" thickBot="1" x14ac:dyDescent="0.35">
      <c r="A23" s="219"/>
      <c r="B23" s="220"/>
      <c r="C23" s="217" t="s">
        <v>23</v>
      </c>
      <c r="D23" s="221" t="s">
        <v>156</v>
      </c>
      <c r="E23" s="215">
        <f>IF(D23="Dewald", Employees!$J$20,IF(D23="Hannes",Employees!$J$19,IF(D23="Johan",Employees!$J$21,"")))</f>
        <v>395</v>
      </c>
      <c r="F23" s="146">
        <f>G23*8</f>
        <v>4</v>
      </c>
      <c r="G23" s="225">
        <v>0.5</v>
      </c>
      <c r="H23" s="377">
        <f>F23*E23</f>
        <v>1580</v>
      </c>
      <c r="I23" s="378"/>
      <c r="J23" s="1"/>
      <c r="N23" s="3"/>
    </row>
    <row r="24" spans="1:15" ht="18" thickBot="1" x14ac:dyDescent="0.35">
      <c r="A24" s="417" t="s">
        <v>121</v>
      </c>
      <c r="B24" s="417"/>
      <c r="C24" s="217" t="s">
        <v>23</v>
      </c>
      <c r="D24" s="92" t="s">
        <v>150</v>
      </c>
      <c r="E24" s="215">
        <f>IF(D24="Dewald", Employees!$J$20,IF(D24="Hannes",Employees!$J$19,IF(D24="Johan",Employees!$J$21,"")))</f>
        <v>672</v>
      </c>
      <c r="F24" s="146">
        <f>G24*8</f>
        <v>4</v>
      </c>
      <c r="G24" s="225">
        <v>0.5</v>
      </c>
      <c r="H24" s="418">
        <f>F24*E24</f>
        <v>2688</v>
      </c>
      <c r="I24" s="378"/>
      <c r="J24" s="1"/>
      <c r="K24" s="360" t="s">
        <v>123</v>
      </c>
      <c r="L24" s="361"/>
      <c r="M24" s="362"/>
      <c r="N24" s="176">
        <f>H37/N21</f>
        <v>5162.9230769230771</v>
      </c>
    </row>
    <row r="25" spans="1:15" ht="17.25" x14ac:dyDescent="0.3">
      <c r="A25" s="334" t="s">
        <v>122</v>
      </c>
      <c r="B25" s="334"/>
      <c r="C25" s="216" t="s">
        <v>23</v>
      </c>
      <c r="D25" s="92" t="s">
        <v>150</v>
      </c>
      <c r="E25" s="215">
        <f>IF(D25="Dewald", Employees!$J$20,IF(D25="Hannes",Employees!$J$19,IF(D25="Johan",Employees!$J$21,"")))</f>
        <v>672</v>
      </c>
      <c r="F25" s="146">
        <f>G25*8</f>
        <v>16</v>
      </c>
      <c r="G25" s="225">
        <v>2</v>
      </c>
      <c r="H25" s="419">
        <f>F25*E25</f>
        <v>10752</v>
      </c>
      <c r="I25" s="420"/>
      <c r="J25" s="1"/>
      <c r="N25" s="163"/>
    </row>
    <row r="26" spans="1:15" ht="18" thickBot="1" x14ac:dyDescent="0.35">
      <c r="A26" s="4"/>
      <c r="B26" s="4"/>
      <c r="C26" s="1"/>
      <c r="D26" s="92"/>
      <c r="E26" s="215"/>
      <c r="F26" s="146"/>
      <c r="G26" s="225"/>
      <c r="H26" s="419"/>
      <c r="I26" s="420"/>
      <c r="J26" s="1"/>
    </row>
    <row r="27" spans="1:15" ht="18" thickBot="1" x14ac:dyDescent="0.35">
      <c r="A27" s="4"/>
      <c r="B27" s="4"/>
      <c r="C27" s="1"/>
      <c r="D27" s="1"/>
      <c r="E27" s="1"/>
      <c r="F27" s="1"/>
      <c r="G27" s="1"/>
      <c r="H27" s="1"/>
      <c r="I27" s="1"/>
      <c r="J27" s="1"/>
      <c r="K27" s="171" t="s">
        <v>145</v>
      </c>
      <c r="L27" s="173" t="s">
        <v>135</v>
      </c>
      <c r="M27" s="174" t="s">
        <v>130</v>
      </c>
      <c r="N27" s="175" t="s">
        <v>133</v>
      </c>
      <c r="O27" s="172" t="s">
        <v>131</v>
      </c>
    </row>
    <row r="28" spans="1:15" ht="18" thickBot="1" x14ac:dyDescent="0.35">
      <c r="A28" s="411" t="s">
        <v>126</v>
      </c>
      <c r="B28" s="412"/>
      <c r="C28" s="110"/>
      <c r="D28" s="110"/>
      <c r="E28" s="110"/>
      <c r="F28" s="123">
        <f>SUM(F29:F33)</f>
        <v>13.6</v>
      </c>
      <c r="G28" s="123">
        <f>SUM(G29:G33)</f>
        <v>1.7</v>
      </c>
      <c r="H28" s="402">
        <f>SUM(H29:I32)</f>
        <v>9139.2000000000007</v>
      </c>
      <c r="I28" s="314"/>
      <c r="J28" s="1"/>
      <c r="K28" s="177">
        <f>H37</f>
        <v>26847.200000000001</v>
      </c>
      <c r="L28" s="90">
        <f>K28*0.05</f>
        <v>1342.3600000000001</v>
      </c>
      <c r="M28" s="90">
        <f>K28-L28</f>
        <v>25504.84</v>
      </c>
      <c r="N28" s="177">
        <f>M28-O28</f>
        <v>14877.823333333334</v>
      </c>
      <c r="O28" s="179">
        <f>M28/2.4</f>
        <v>10627.016666666666</v>
      </c>
    </row>
    <row r="29" spans="1:15" ht="18" thickBot="1" x14ac:dyDescent="0.35">
      <c r="A29" s="23" t="s">
        <v>158</v>
      </c>
      <c r="B29" s="393" t="s">
        <v>159</v>
      </c>
      <c r="C29" s="394"/>
      <c r="D29" s="92" t="s">
        <v>150</v>
      </c>
      <c r="E29" s="92">
        <f>IF(D29="Dewald", Employees!$J$20,IF(D29="Hannes",Employees!$J$19,IF(D29="Johan",Employees!$J$21,"")))</f>
        <v>672</v>
      </c>
      <c r="F29" s="223">
        <f>G29*8</f>
        <v>8</v>
      </c>
      <c r="G29" s="224">
        <v>1</v>
      </c>
      <c r="H29" s="375">
        <f>F29*E29</f>
        <v>5376</v>
      </c>
      <c r="I29" s="376"/>
      <c r="J29" s="1"/>
      <c r="N29" s="163"/>
    </row>
    <row r="30" spans="1:15" ht="18" thickBot="1" x14ac:dyDescent="0.35">
      <c r="A30" s="416" t="s">
        <v>89</v>
      </c>
      <c r="B30" s="416"/>
      <c r="C30" s="23"/>
      <c r="D30" s="92" t="s">
        <v>150</v>
      </c>
      <c r="E30" s="92">
        <f>IF(D30="Dewald", Employees!$J$20,IF(D30="Hannes",Employees!$J$19,IF(D30="Johan",Employees!$J$21,"")))</f>
        <v>672</v>
      </c>
      <c r="F30" s="146">
        <f>G30*8</f>
        <v>0</v>
      </c>
      <c r="G30" s="225">
        <v>0</v>
      </c>
      <c r="H30" s="375">
        <f>F30*E30</f>
        <v>0</v>
      </c>
      <c r="I30" s="376"/>
      <c r="J30" s="1"/>
      <c r="K30" s="170" t="s">
        <v>132</v>
      </c>
      <c r="L30" s="161"/>
      <c r="M30" s="161"/>
      <c r="N30" s="178">
        <f>N28*0.15</f>
        <v>2231.6734999999999</v>
      </c>
    </row>
    <row r="31" spans="1:15" ht="17.25" x14ac:dyDescent="0.3">
      <c r="A31" s="214" t="s">
        <v>184</v>
      </c>
      <c r="B31" s="214"/>
      <c r="C31" s="23"/>
      <c r="D31" s="92" t="s">
        <v>150</v>
      </c>
      <c r="E31" s="92">
        <f>IF(D31="Dewald", Employees!$J$20,IF(D31="Hannes",Employees!$J$19,IF(D31="Johan",Employees!$J$21,"")))</f>
        <v>672</v>
      </c>
      <c r="F31" s="146">
        <f>G31*8</f>
        <v>4</v>
      </c>
      <c r="G31" s="225">
        <v>0.5</v>
      </c>
      <c r="H31" s="375">
        <f>F31*E31</f>
        <v>2688</v>
      </c>
      <c r="I31" s="376"/>
      <c r="J31" s="1"/>
      <c r="K31" s="273"/>
      <c r="L31" s="274"/>
      <c r="M31" s="274"/>
      <c r="N31" s="177"/>
    </row>
    <row r="32" spans="1:15" ht="18" thickBot="1" x14ac:dyDescent="0.35">
      <c r="A32" s="334" t="s">
        <v>129</v>
      </c>
      <c r="B32" s="334"/>
      <c r="C32" s="49"/>
      <c r="D32" s="92" t="s">
        <v>150</v>
      </c>
      <c r="E32" s="92">
        <f>IF(D32="Dewald", Employees!$J$20,IF(D32="Hannes",Employees!$J$19,IF(D32="Johan",Employees!$J$21,"")))</f>
        <v>672</v>
      </c>
      <c r="F32" s="146">
        <f>G32*8</f>
        <v>1.6</v>
      </c>
      <c r="G32" s="225">
        <v>0.2</v>
      </c>
      <c r="H32" s="375">
        <f>F32*E32</f>
        <v>1075.2</v>
      </c>
      <c r="I32" s="376"/>
      <c r="J32" s="1"/>
      <c r="L32" s="145"/>
      <c r="M32" s="160"/>
      <c r="N32" s="163"/>
    </row>
    <row r="33" spans="1:17" ht="18" thickBot="1" x14ac:dyDescent="0.35">
      <c r="A33" s="128"/>
      <c r="B33" s="128"/>
      <c r="C33" s="49"/>
      <c r="D33" s="49"/>
      <c r="E33" s="156"/>
      <c r="F33" s="49"/>
      <c r="G33" s="109"/>
      <c r="H33" s="404"/>
      <c r="I33" s="404"/>
      <c r="J33" s="1"/>
      <c r="K33" s="169" t="s">
        <v>134</v>
      </c>
      <c r="L33" s="161"/>
      <c r="M33" s="161"/>
      <c r="N33" s="178">
        <f>N28-N30</f>
        <v>12646.149833333333</v>
      </c>
    </row>
    <row r="34" spans="1:17" ht="17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60"/>
      <c r="N34" s="163"/>
    </row>
    <row r="35" spans="1:17" ht="18" x14ac:dyDescent="0.3">
      <c r="A35" s="116"/>
      <c r="B35" s="116"/>
      <c r="D35" s="158"/>
      <c r="E35" s="158" t="s">
        <v>125</v>
      </c>
      <c r="F35" s="371" t="str">
        <f xml:space="preserve"> IF(H28=0,"Phase 1", "Phase 1 - 2")</f>
        <v>Phase 1 - 2</v>
      </c>
      <c r="G35" s="371"/>
      <c r="H35" s="304">
        <f>H28+H21</f>
        <v>26847.200000000001</v>
      </c>
      <c r="I35" s="293"/>
      <c r="J35" s="1"/>
      <c r="K35" s="1"/>
      <c r="L35" s="1"/>
      <c r="M35" s="1"/>
      <c r="N35" s="90"/>
    </row>
    <row r="36" spans="1:17" ht="18.75" thickBot="1" x14ac:dyDescent="0.35">
      <c r="A36" s="116"/>
      <c r="B36" s="116"/>
      <c r="C36" s="116"/>
      <c r="E36" s="158" t="s">
        <v>124</v>
      </c>
      <c r="F36" s="372">
        <v>0</v>
      </c>
      <c r="G36" s="372"/>
      <c r="H36" s="304">
        <f>H35*F36</f>
        <v>0</v>
      </c>
      <c r="I36" s="293"/>
      <c r="J36" s="1"/>
    </row>
    <row r="37" spans="1:17" ht="19.5" thickBot="1" x14ac:dyDescent="0.35">
      <c r="A37" s="1"/>
      <c r="B37" s="1"/>
      <c r="C37" s="1"/>
      <c r="D37" s="1"/>
      <c r="F37" s="373" t="s">
        <v>93</v>
      </c>
      <c r="G37" s="374"/>
      <c r="H37" s="369">
        <f>H35-H36</f>
        <v>26847.200000000001</v>
      </c>
      <c r="I37" s="370"/>
      <c r="J37" s="1"/>
    </row>
    <row r="38" spans="1:17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7" ht="17.25" x14ac:dyDescent="0.3">
      <c r="A39" s="126"/>
      <c r="B39" s="126"/>
      <c r="C39" s="126"/>
      <c r="D39" s="126"/>
      <c r="E39" s="126"/>
      <c r="F39" s="126"/>
      <c r="G39" s="126"/>
      <c r="H39" s="126"/>
      <c r="I39" s="126"/>
      <c r="K39" s="262" t="s">
        <v>180</v>
      </c>
      <c r="L39" s="262" t="s">
        <v>181</v>
      </c>
      <c r="M39" s="262" t="s">
        <v>182</v>
      </c>
      <c r="N39" s="1"/>
    </row>
    <row r="40" spans="1:17" ht="17.25" x14ac:dyDescent="0.3">
      <c r="A40" s="1"/>
      <c r="B40" s="1"/>
      <c r="C40" s="1"/>
      <c r="D40" s="1"/>
      <c r="E40" s="1"/>
      <c r="F40" s="1"/>
      <c r="G40" s="1"/>
      <c r="H40" s="1"/>
      <c r="I40" s="1"/>
      <c r="K40" s="263" t="s">
        <v>177</v>
      </c>
      <c r="L40" s="264">
        <v>0.7</v>
      </c>
      <c r="M40" s="265">
        <f>H37*L40</f>
        <v>18793.04</v>
      </c>
      <c r="N40" s="1"/>
    </row>
    <row r="41" spans="1:17" ht="17.25" x14ac:dyDescent="0.3">
      <c r="A41" s="1"/>
      <c r="B41" s="1"/>
      <c r="C41" s="1"/>
      <c r="D41" s="1"/>
      <c r="E41" s="1"/>
      <c r="F41" s="1"/>
      <c r="G41" s="1"/>
      <c r="H41" s="1"/>
      <c r="I41" s="1"/>
      <c r="K41" s="263" t="s">
        <v>178</v>
      </c>
      <c r="L41" s="264">
        <v>0</v>
      </c>
      <c r="M41" s="265">
        <f>H37*L41</f>
        <v>0</v>
      </c>
      <c r="N41" s="1"/>
    </row>
    <row r="42" spans="1:17" ht="18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266" t="s">
        <v>179</v>
      </c>
      <c r="L42" s="267">
        <v>0.3</v>
      </c>
      <c r="M42" s="268">
        <f>H37*L42</f>
        <v>8054.16</v>
      </c>
      <c r="N42" s="1"/>
    </row>
    <row r="43" spans="1:17" ht="19.5" thickBot="1" x14ac:dyDescent="0.35">
      <c r="A43" s="396" t="s">
        <v>95</v>
      </c>
      <c r="B43" s="397"/>
      <c r="C43" s="398"/>
      <c r="D43" s="1"/>
      <c r="E43" s="3" t="s">
        <v>86</v>
      </c>
      <c r="F43" s="1"/>
      <c r="G43" s="1"/>
      <c r="H43" s="1"/>
      <c r="I43" s="1"/>
      <c r="K43" s="269" t="s">
        <v>4</v>
      </c>
      <c r="L43" s="270">
        <f>SUM(L40:L42)</f>
        <v>1</v>
      </c>
      <c r="M43" s="261">
        <f>SUM(M40:M42)</f>
        <v>26847.200000000001</v>
      </c>
      <c r="N43" s="1"/>
    </row>
    <row r="44" spans="1:17" ht="18" thickBot="1" x14ac:dyDescent="0.35">
      <c r="A44" s="399" t="s">
        <v>77</v>
      </c>
      <c r="B44" s="395"/>
      <c r="C44" s="395"/>
      <c r="D44" s="68" t="s">
        <v>79</v>
      </c>
      <c r="E44" s="68" t="s">
        <v>94</v>
      </c>
      <c r="F44" s="68" t="s">
        <v>96</v>
      </c>
      <c r="G44" s="111"/>
      <c r="H44" s="395" t="s">
        <v>5</v>
      </c>
      <c r="I44" s="395"/>
      <c r="M44" s="1"/>
      <c r="N44" s="160"/>
    </row>
    <row r="45" spans="1:17" ht="18" thickBot="1" x14ac:dyDescent="0.35">
      <c r="A45" s="400" t="s">
        <v>128</v>
      </c>
      <c r="B45" s="401"/>
      <c r="C45" s="114"/>
      <c r="D45" s="114"/>
      <c r="E45" s="120"/>
      <c r="F45" s="121" t="s">
        <v>115</v>
      </c>
      <c r="G45" s="122" t="s">
        <v>101</v>
      </c>
      <c r="H45" s="402">
        <f>SUM(H46:I48)</f>
        <v>18000</v>
      </c>
      <c r="I45" s="403"/>
      <c r="K45" s="276" t="s">
        <v>185</v>
      </c>
      <c r="L45" s="276" t="s">
        <v>186</v>
      </c>
      <c r="M45" s="276" t="s">
        <v>187</v>
      </c>
      <c r="O45" s="276" t="s">
        <v>201</v>
      </c>
    </row>
    <row r="46" spans="1:17" ht="17.25" x14ac:dyDescent="0.3">
      <c r="A46" s="6" t="s">
        <v>160</v>
      </c>
      <c r="B46" s="405" t="s">
        <v>161</v>
      </c>
      <c r="C46" s="405"/>
      <c r="D46" s="6" t="s">
        <v>150</v>
      </c>
      <c r="E46" s="6">
        <v>50</v>
      </c>
      <c r="F46" s="1">
        <v>360</v>
      </c>
      <c r="G46" s="107">
        <v>0</v>
      </c>
      <c r="H46" s="306">
        <f t="shared" ref="H46" si="0">F46*E46</f>
        <v>18000</v>
      </c>
      <c r="I46" s="306"/>
      <c r="K46" s="275" t="s">
        <v>191</v>
      </c>
      <c r="L46" s="276">
        <v>58</v>
      </c>
      <c r="M46" s="218"/>
      <c r="N46" s="1"/>
    </row>
    <row r="47" spans="1:17" ht="17.25" x14ac:dyDescent="0.3">
      <c r="A47" s="145"/>
      <c r="B47" s="145"/>
      <c r="C47" s="6"/>
      <c r="D47" s="6"/>
      <c r="E47" s="6"/>
      <c r="F47" s="1"/>
      <c r="G47" s="107"/>
      <c r="H47" s="306"/>
      <c r="I47" s="306"/>
      <c r="K47" s="1" t="s">
        <v>188</v>
      </c>
      <c r="L47" s="5"/>
      <c r="M47" s="5">
        <v>57</v>
      </c>
      <c r="N47" s="1" t="s">
        <v>192</v>
      </c>
      <c r="O47" s="210">
        <f>M47*L57</f>
        <v>313500</v>
      </c>
      <c r="P47">
        <v>28</v>
      </c>
      <c r="Q47" s="160">
        <f>P47*O47</f>
        <v>8778000</v>
      </c>
    </row>
    <row r="48" spans="1:17" ht="17.25" x14ac:dyDescent="0.3">
      <c r="A48" s="145"/>
      <c r="B48" s="145"/>
      <c r="C48" s="6"/>
      <c r="D48" s="6"/>
      <c r="E48" s="6"/>
      <c r="F48" s="1"/>
      <c r="G48" s="107"/>
      <c r="H48" s="90"/>
      <c r="I48" s="90"/>
      <c r="K48" s="1" t="s">
        <v>189</v>
      </c>
      <c r="L48" s="6"/>
      <c r="M48" s="277">
        <v>67</v>
      </c>
      <c r="N48" s="1" t="s">
        <v>193</v>
      </c>
      <c r="O48" s="210">
        <f>M48*L57</f>
        <v>368500</v>
      </c>
      <c r="P48">
        <v>30</v>
      </c>
      <c r="Q48" s="160">
        <f>O48*P48</f>
        <v>11055000</v>
      </c>
    </row>
    <row r="49" spans="1:17" ht="18" thickBot="1" x14ac:dyDescent="0.35">
      <c r="A49" s="4"/>
      <c r="B49" s="4"/>
      <c r="C49" s="1"/>
      <c r="D49" s="1"/>
      <c r="E49" s="1" t="s">
        <v>4</v>
      </c>
      <c r="F49" s="1">
        <f>SUM(F46:F48)</f>
        <v>360</v>
      </c>
      <c r="G49" s="1">
        <f>SUM(G46:G48)</f>
        <v>0</v>
      </c>
      <c r="H49" s="1"/>
      <c r="I49" s="1"/>
      <c r="L49" s="160"/>
      <c r="M49" s="1"/>
      <c r="N49" s="1"/>
      <c r="O49" s="278">
        <f>O47+O48</f>
        <v>682000</v>
      </c>
      <c r="Q49" s="160">
        <f>SUM(Q47:Q48)</f>
        <v>19833000</v>
      </c>
    </row>
    <row r="50" spans="1:17" ht="18" thickBot="1" x14ac:dyDescent="0.35">
      <c r="A50" s="411" t="s">
        <v>126</v>
      </c>
      <c r="B50" s="412"/>
      <c r="C50" s="110"/>
      <c r="D50" s="110"/>
      <c r="E50" s="110"/>
      <c r="F50" s="123"/>
      <c r="G50" s="123"/>
      <c r="H50" s="402">
        <f>SUM(H51:I52)</f>
        <v>48965</v>
      </c>
      <c r="I50" s="314"/>
      <c r="K50" s="275" t="s">
        <v>190</v>
      </c>
      <c r="L50" s="276">
        <f>170+23</f>
        <v>193</v>
      </c>
      <c r="M50" s="1"/>
      <c r="N50" s="1"/>
    </row>
    <row r="51" spans="1:17" ht="17.25" x14ac:dyDescent="0.3">
      <c r="A51" s="413" t="s">
        <v>162</v>
      </c>
      <c r="B51" s="413"/>
      <c r="C51" s="13"/>
      <c r="D51" s="13" t="s">
        <v>150</v>
      </c>
      <c r="E51" s="43">
        <v>200</v>
      </c>
      <c r="F51" s="13">
        <v>139.9</v>
      </c>
      <c r="G51" s="115"/>
      <c r="H51" s="414">
        <f>F51*E51</f>
        <v>27980</v>
      </c>
      <c r="I51" s="415"/>
      <c r="K51" s="1" t="s">
        <v>188</v>
      </c>
      <c r="L51" s="5"/>
      <c r="M51" s="5">
        <v>39</v>
      </c>
      <c r="N51" s="1" t="s">
        <v>200</v>
      </c>
      <c r="O51" s="210">
        <f>M51*L57</f>
        <v>214500</v>
      </c>
      <c r="P51" s="1"/>
      <c r="Q51" s="1"/>
    </row>
    <row r="52" spans="1:17" ht="17.25" x14ac:dyDescent="0.3">
      <c r="A52" s="334" t="s">
        <v>164</v>
      </c>
      <c r="B52" s="334"/>
      <c r="C52" s="49"/>
      <c r="D52" s="49" t="s">
        <v>150</v>
      </c>
      <c r="E52" s="51">
        <v>150</v>
      </c>
      <c r="F52" s="49">
        <v>139.9</v>
      </c>
      <c r="G52" s="109"/>
      <c r="H52" s="335">
        <f>F52*E52</f>
        <v>20985</v>
      </c>
      <c r="I52" s="336"/>
      <c r="K52" s="1" t="s">
        <v>194</v>
      </c>
      <c r="L52" s="379"/>
      <c r="M52" s="5">
        <v>52</v>
      </c>
      <c r="N52" s="1" t="s">
        <v>198</v>
      </c>
      <c r="O52" s="210">
        <f>M52*L57</f>
        <v>286000</v>
      </c>
      <c r="P52" s="1"/>
      <c r="Q52" s="1"/>
    </row>
    <row r="53" spans="1:17" ht="17.25" x14ac:dyDescent="0.3">
      <c r="A53" s="128" t="s">
        <v>163</v>
      </c>
      <c r="B53" s="128"/>
      <c r="C53" s="49"/>
      <c r="D53" s="49" t="s">
        <v>150</v>
      </c>
      <c r="E53" s="51">
        <v>50</v>
      </c>
      <c r="F53" s="49">
        <v>220.1</v>
      </c>
      <c r="G53" s="109"/>
      <c r="H53" s="335">
        <f>F53*E53</f>
        <v>11005</v>
      </c>
      <c r="I53" s="336"/>
      <c r="K53" s="1" t="s">
        <v>195</v>
      </c>
      <c r="L53" s="379"/>
      <c r="M53" s="5">
        <v>48</v>
      </c>
      <c r="N53" s="1" t="s">
        <v>198</v>
      </c>
      <c r="O53" s="210">
        <f>M53*L57</f>
        <v>264000</v>
      </c>
      <c r="P53" s="1"/>
      <c r="Q53" s="1"/>
    </row>
    <row r="54" spans="1:17" ht="17.25" x14ac:dyDescent="0.3">
      <c r="A54" s="334" t="s">
        <v>129</v>
      </c>
      <c r="B54" s="334"/>
      <c r="C54" s="49"/>
      <c r="D54" s="49" t="s">
        <v>150</v>
      </c>
      <c r="E54" s="51">
        <v>10</v>
      </c>
      <c r="F54" s="49">
        <v>360</v>
      </c>
      <c r="G54" s="109"/>
      <c r="H54" s="335">
        <f>F54*E54</f>
        <v>3600</v>
      </c>
      <c r="I54" s="336"/>
      <c r="K54" s="1" t="s">
        <v>196</v>
      </c>
      <c r="L54" s="379"/>
      <c r="M54" s="5">
        <v>62</v>
      </c>
      <c r="N54" s="1" t="s">
        <v>198</v>
      </c>
      <c r="O54" s="210">
        <f>M54*L57</f>
        <v>341000</v>
      </c>
      <c r="P54" s="1"/>
      <c r="Q54" s="1"/>
    </row>
    <row r="55" spans="1:17" ht="17.25" x14ac:dyDescent="0.3">
      <c r="A55" s="1"/>
      <c r="B55" s="1"/>
      <c r="C55" s="1"/>
      <c r="D55" s="1"/>
      <c r="E55" s="1"/>
      <c r="F55" s="1"/>
      <c r="G55" s="1"/>
      <c r="H55" s="410"/>
      <c r="I55" s="410"/>
      <c r="K55" s="1" t="s">
        <v>197</v>
      </c>
      <c r="L55" s="379"/>
      <c r="M55" s="5">
        <v>49</v>
      </c>
      <c r="N55" s="1" t="s">
        <v>198</v>
      </c>
      <c r="O55" s="210">
        <f>M55*L57</f>
        <v>269500</v>
      </c>
      <c r="P55" s="1"/>
      <c r="Q55" s="1"/>
    </row>
    <row r="56" spans="1:17" ht="18.75" thickBot="1" x14ac:dyDescent="0.35">
      <c r="A56" s="116"/>
      <c r="B56" s="116"/>
      <c r="C56" s="116"/>
      <c r="D56" s="371" t="s">
        <v>91</v>
      </c>
      <c r="E56" s="371"/>
      <c r="F56" s="371"/>
      <c r="G56" s="116"/>
      <c r="H56" s="304">
        <f>H50+H45</f>
        <v>66965</v>
      </c>
      <c r="I56" s="293"/>
      <c r="K56" s="1"/>
      <c r="L56" s="1"/>
      <c r="M56" s="1"/>
      <c r="N56" s="1"/>
      <c r="O56" s="279">
        <f>SUM(O51:O55)</f>
        <v>1375000</v>
      </c>
      <c r="P56" s="1"/>
      <c r="Q56" s="1"/>
    </row>
    <row r="57" spans="1:17" ht="18.75" thickBot="1" x14ac:dyDescent="0.35">
      <c r="A57" s="116"/>
      <c r="B57" s="116"/>
      <c r="C57" s="116"/>
      <c r="D57" s="371" t="s">
        <v>92</v>
      </c>
      <c r="E57" s="371"/>
      <c r="F57" s="371"/>
      <c r="G57" s="117">
        <v>0</v>
      </c>
      <c r="H57" s="304">
        <f>H56*G57</f>
        <v>0</v>
      </c>
      <c r="I57" s="293"/>
      <c r="K57" s="281" t="s">
        <v>199</v>
      </c>
      <c r="L57" s="282">
        <v>5500</v>
      </c>
      <c r="M57" s="283"/>
      <c r="N57" s="284" t="s">
        <v>202</v>
      </c>
      <c r="O57" s="280">
        <f>O49+O56</f>
        <v>2057000</v>
      </c>
      <c r="P57" s="1"/>
      <c r="Q57" s="1"/>
    </row>
    <row r="58" spans="1:17" ht="19.5" thickBot="1" x14ac:dyDescent="0.35">
      <c r="A58" s="1"/>
      <c r="B58" s="1"/>
      <c r="C58" s="1"/>
      <c r="D58" s="1"/>
      <c r="E58" s="1"/>
      <c r="F58" s="1"/>
      <c r="G58" s="118" t="s">
        <v>93</v>
      </c>
      <c r="H58" s="369">
        <f>H56+H46</f>
        <v>84965</v>
      </c>
      <c r="I58" s="370"/>
      <c r="K58" s="1"/>
      <c r="L58" s="127"/>
      <c r="M58" s="127"/>
      <c r="N58" s="1"/>
      <c r="O58" s="1"/>
      <c r="P58" s="1"/>
      <c r="Q58" s="1"/>
    </row>
    <row r="59" spans="1:17" ht="17.25" x14ac:dyDescent="0.3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1"/>
      <c r="N59" s="1"/>
      <c r="O59" s="1"/>
      <c r="P59" s="1"/>
      <c r="Q59" s="1"/>
    </row>
    <row r="60" spans="1:17" ht="17.25" x14ac:dyDescent="0.3">
      <c r="A60" s="126"/>
      <c r="B60" s="126"/>
      <c r="C60" s="126"/>
      <c r="D60" s="126"/>
      <c r="E60" s="126"/>
      <c r="F60" s="126"/>
      <c r="G60" s="126"/>
      <c r="H60" s="126"/>
      <c r="I60" s="126"/>
      <c r="K60" s="1"/>
      <c r="L60" s="1"/>
      <c r="M60" s="1"/>
      <c r="N60" s="1"/>
      <c r="O60" s="1"/>
      <c r="P60" s="1"/>
      <c r="Q60" s="1"/>
    </row>
    <row r="61" spans="1:17" ht="17.25" x14ac:dyDescent="0.3">
      <c r="K61" s="1"/>
      <c r="L61" s="1"/>
      <c r="M61" s="1"/>
      <c r="N61" s="1"/>
      <c r="O61" s="1"/>
      <c r="P61" s="1"/>
      <c r="Q61" s="1"/>
    </row>
    <row r="62" spans="1:17" ht="18" thickBot="1" x14ac:dyDescent="0.35">
      <c r="A62" s="337" t="s">
        <v>87</v>
      </c>
      <c r="B62" s="337"/>
      <c r="C62" s="1"/>
      <c r="D62" s="1"/>
      <c r="E62" s="1"/>
      <c r="F62" s="1"/>
      <c r="G62" s="1"/>
      <c r="H62" s="1"/>
      <c r="I62" s="1"/>
      <c r="J62" s="1"/>
      <c r="K62" s="1"/>
    </row>
    <row r="63" spans="1:17" ht="20.25" thickBot="1" x14ac:dyDescent="0.3">
      <c r="A63" s="338" t="s">
        <v>18</v>
      </c>
      <c r="B63" s="339"/>
      <c r="C63" s="339"/>
      <c r="D63" s="340"/>
      <c r="E63" s="367" t="s">
        <v>20</v>
      </c>
      <c r="F63" s="368"/>
      <c r="G63" s="367" t="s">
        <v>19</v>
      </c>
      <c r="H63" s="368"/>
      <c r="I63" s="231" t="s">
        <v>142</v>
      </c>
      <c r="K63" t="s">
        <v>173</v>
      </c>
      <c r="L63" t="s">
        <v>174</v>
      </c>
      <c r="M63" t="s">
        <v>175</v>
      </c>
      <c r="N63" t="s">
        <v>176</v>
      </c>
    </row>
    <row r="64" spans="1:17" ht="17.25" x14ac:dyDescent="0.3">
      <c r="A64" s="230"/>
      <c r="B64" s="239"/>
      <c r="C64" s="240"/>
      <c r="D64" s="240"/>
      <c r="E64" s="241"/>
      <c r="F64" s="241"/>
      <c r="G64" s="242"/>
      <c r="H64" s="242"/>
      <c r="I64" s="243"/>
      <c r="K64" s="250" t="s">
        <v>165</v>
      </c>
      <c r="L64" s="255">
        <v>20000</v>
      </c>
      <c r="M64" s="159">
        <v>1</v>
      </c>
      <c r="N64" s="252">
        <f t="shared" ref="N64:N71" si="1">L64*M64</f>
        <v>20000</v>
      </c>
    </row>
    <row r="65" spans="1:14" ht="17.25" x14ac:dyDescent="0.3">
      <c r="A65" s="1"/>
      <c r="B65" s="352"/>
      <c r="C65" s="353"/>
      <c r="D65" s="235"/>
      <c r="E65" s="236"/>
      <c r="F65" s="236"/>
      <c r="G65" s="237"/>
      <c r="H65" s="237"/>
      <c r="I65" s="244"/>
      <c r="K65" s="199" t="s">
        <v>166</v>
      </c>
      <c r="L65" s="256">
        <v>3000</v>
      </c>
      <c r="M65">
        <v>4</v>
      </c>
      <c r="N65" s="253">
        <f t="shared" si="1"/>
        <v>12000</v>
      </c>
    </row>
    <row r="66" spans="1:14" ht="17.25" x14ac:dyDescent="0.3">
      <c r="A66" s="1"/>
      <c r="B66" s="354"/>
      <c r="C66" s="355"/>
      <c r="D66" s="237"/>
      <c r="E66" s="236"/>
      <c r="F66" s="236"/>
      <c r="G66" s="237"/>
      <c r="H66" s="237"/>
      <c r="I66" s="244"/>
      <c r="K66" s="199" t="s">
        <v>167</v>
      </c>
      <c r="L66" s="256">
        <v>5000</v>
      </c>
      <c r="M66">
        <v>2</v>
      </c>
      <c r="N66" s="253">
        <f t="shared" si="1"/>
        <v>10000</v>
      </c>
    </row>
    <row r="67" spans="1:14" ht="17.25" x14ac:dyDescent="0.3">
      <c r="A67" s="1"/>
      <c r="B67" s="245"/>
      <c r="C67" s="353"/>
      <c r="D67" s="353"/>
      <c r="E67" s="236"/>
      <c r="F67" s="236"/>
      <c r="G67" s="237"/>
      <c r="H67" s="237"/>
      <c r="I67" s="244"/>
      <c r="K67" s="199" t="s">
        <v>168</v>
      </c>
      <c r="L67" s="256">
        <v>8000</v>
      </c>
      <c r="M67">
        <v>1</v>
      </c>
      <c r="N67" s="253">
        <f t="shared" si="1"/>
        <v>8000</v>
      </c>
    </row>
    <row r="68" spans="1:14" ht="17.25" x14ac:dyDescent="0.3">
      <c r="A68" s="1"/>
      <c r="B68" s="352"/>
      <c r="C68" s="353"/>
      <c r="D68" s="237"/>
      <c r="E68" s="236"/>
      <c r="F68" s="236"/>
      <c r="G68" s="237"/>
      <c r="H68" s="237"/>
      <c r="I68" s="244"/>
      <c r="K68" s="199" t="s">
        <v>172</v>
      </c>
      <c r="L68" s="256">
        <v>5000</v>
      </c>
      <c r="M68">
        <v>1</v>
      </c>
      <c r="N68" s="253">
        <f t="shared" si="1"/>
        <v>5000</v>
      </c>
    </row>
    <row r="69" spans="1:14" ht="18" thickBot="1" x14ac:dyDescent="0.35">
      <c r="A69" s="1"/>
      <c r="B69" s="246"/>
      <c r="C69" s="356"/>
      <c r="D69" s="356"/>
      <c r="E69" s="247"/>
      <c r="F69" s="247"/>
      <c r="G69" s="248"/>
      <c r="H69" s="248"/>
      <c r="I69" s="249"/>
      <c r="K69" s="199" t="s">
        <v>169</v>
      </c>
      <c r="L69" s="256">
        <v>2000</v>
      </c>
      <c r="M69">
        <v>1</v>
      </c>
      <c r="N69" s="253">
        <f t="shared" si="1"/>
        <v>2000</v>
      </c>
    </row>
    <row r="70" spans="1:14" ht="17.25" x14ac:dyDescent="0.3">
      <c r="A70" s="1"/>
      <c r="B70" s="5"/>
      <c r="C70" s="5"/>
      <c r="D70" s="232"/>
      <c r="E70" s="233"/>
      <c r="F70" s="234"/>
      <c r="G70" s="228"/>
      <c r="H70" s="229"/>
      <c r="I70" s="90"/>
      <c r="K70" s="199" t="s">
        <v>170</v>
      </c>
      <c r="L70" s="256">
        <v>7000</v>
      </c>
      <c r="M70">
        <v>1</v>
      </c>
      <c r="N70" s="253">
        <f t="shared" si="1"/>
        <v>7000</v>
      </c>
    </row>
    <row r="71" spans="1:14" ht="18" thickBot="1" x14ac:dyDescent="0.35">
      <c r="A71" s="1"/>
      <c r="B71" s="347"/>
      <c r="C71" s="347"/>
      <c r="D71" s="347"/>
      <c r="E71" s="236"/>
      <c r="F71" s="236"/>
      <c r="G71" s="237"/>
      <c r="H71" s="237"/>
      <c r="I71" s="236"/>
      <c r="K71" s="199" t="s">
        <v>171</v>
      </c>
      <c r="L71" s="256">
        <v>15000</v>
      </c>
      <c r="M71">
        <v>1</v>
      </c>
      <c r="N71" s="253">
        <f t="shared" si="1"/>
        <v>15000</v>
      </c>
    </row>
    <row r="72" spans="1:14" ht="18" thickBot="1" x14ac:dyDescent="0.35">
      <c r="A72" s="1"/>
      <c r="B72" s="351"/>
      <c r="C72" s="351"/>
      <c r="D72" s="351"/>
      <c r="E72" s="236"/>
      <c r="F72" s="236"/>
      <c r="G72" s="237"/>
      <c r="H72" s="237"/>
      <c r="I72" s="236"/>
      <c r="K72" s="251"/>
      <c r="L72" s="204"/>
      <c r="M72" s="204"/>
      <c r="N72" s="254">
        <f>SUM(N64:N71)</f>
        <v>79000</v>
      </c>
    </row>
    <row r="73" spans="1:14" ht="17.25" x14ac:dyDescent="0.3">
      <c r="A73" s="1"/>
      <c r="B73" s="347"/>
      <c r="C73" s="347"/>
      <c r="D73" s="347"/>
      <c r="E73" s="236"/>
      <c r="F73" s="236"/>
      <c r="G73" s="238"/>
      <c r="H73" s="235"/>
      <c r="I73" s="257"/>
    </row>
    <row r="74" spans="1:14" ht="17.25" x14ac:dyDescent="0.3">
      <c r="A74" s="1"/>
      <c r="B74" s="347"/>
      <c r="C74" s="347"/>
      <c r="D74" s="347"/>
      <c r="E74" s="236"/>
      <c r="F74" s="236"/>
      <c r="G74" s="238"/>
      <c r="H74" s="235"/>
      <c r="I74" s="257"/>
    </row>
    <row r="75" spans="1:14" ht="17.25" x14ac:dyDescent="0.3">
      <c r="A75" s="1"/>
      <c r="B75" s="347"/>
      <c r="C75" s="347"/>
      <c r="D75" s="347"/>
      <c r="E75" s="236"/>
      <c r="F75" s="236"/>
      <c r="G75" s="238"/>
      <c r="H75" s="235"/>
      <c r="I75" s="257"/>
    </row>
    <row r="76" spans="1:14" ht="17.25" x14ac:dyDescent="0.3">
      <c r="A76" s="1"/>
      <c r="B76" s="347"/>
      <c r="C76" s="347"/>
      <c r="D76" s="347"/>
      <c r="E76" s="236"/>
      <c r="F76" s="258"/>
      <c r="G76" s="238"/>
      <c r="H76" s="235"/>
      <c r="I76" s="257"/>
    </row>
    <row r="77" spans="1:14" ht="17.25" x14ac:dyDescent="0.3">
      <c r="A77" s="1"/>
      <c r="B77" s="347"/>
      <c r="C77" s="347"/>
      <c r="D77" s="347"/>
      <c r="E77" s="236"/>
      <c r="F77" s="259"/>
      <c r="G77" s="238"/>
      <c r="H77" s="235"/>
      <c r="I77" s="257"/>
    </row>
    <row r="78" spans="1:14" ht="17.25" x14ac:dyDescent="0.3">
      <c r="A78" s="1"/>
      <c r="B78" s="348"/>
      <c r="C78" s="349"/>
      <c r="D78" s="350"/>
      <c r="E78" s="236"/>
      <c r="F78" s="259"/>
      <c r="G78" s="238"/>
      <c r="H78" s="235"/>
      <c r="I78" s="257"/>
    </row>
    <row r="79" spans="1:14" ht="17.25" x14ac:dyDescent="0.3">
      <c r="A79" s="1"/>
      <c r="B79" s="346"/>
      <c r="C79" s="346"/>
      <c r="D79" s="346"/>
      <c r="E79" s="90"/>
      <c r="F79" s="90"/>
      <c r="G79" s="5"/>
      <c r="H79" s="1"/>
      <c r="I79" s="127"/>
    </row>
    <row r="80" spans="1:14" ht="17.25" x14ac:dyDescent="0.3">
      <c r="A80" s="1"/>
      <c r="B80" s="49"/>
      <c r="C80" s="49"/>
      <c r="D80" s="49"/>
      <c r="E80" s="92"/>
      <c r="F80" s="92"/>
      <c r="G80" s="93"/>
      <c r="H80" s="93"/>
      <c r="I80" s="94"/>
    </row>
    <row r="81" spans="1:12" ht="17.25" x14ac:dyDescent="0.3">
      <c r="A81" s="1"/>
      <c r="B81" s="49"/>
      <c r="C81" s="49"/>
      <c r="D81" s="49"/>
      <c r="E81" s="92"/>
      <c r="F81" s="92"/>
      <c r="G81" s="93"/>
      <c r="H81" s="93"/>
      <c r="I81" s="94"/>
    </row>
    <row r="82" spans="1:12" ht="18" thickBot="1" x14ac:dyDescent="0.35">
      <c r="A82" s="1"/>
      <c r="B82" s="1"/>
      <c r="C82" s="1"/>
      <c r="D82" s="1"/>
      <c r="E82" s="90"/>
      <c r="F82" s="90"/>
      <c r="G82" s="3"/>
      <c r="H82" s="3"/>
      <c r="I82" s="90"/>
    </row>
    <row r="83" spans="1:12" ht="18" thickBot="1" x14ac:dyDescent="0.35">
      <c r="A83" s="1"/>
      <c r="B83" s="1"/>
      <c r="C83" s="1"/>
      <c r="D83" s="1"/>
      <c r="E83" s="90"/>
      <c r="F83" s="90" t="s">
        <v>114</v>
      </c>
      <c r="G83" s="95" t="s">
        <v>4</v>
      </c>
      <c r="H83" s="96">
        <f>SUM(G64:G76)</f>
        <v>0</v>
      </c>
      <c r="I83" s="164">
        <f>Q49</f>
        <v>19833000</v>
      </c>
      <c r="J83" s="260" t="s">
        <v>183</v>
      </c>
      <c r="K83" s="272" t="e">
        <f>I83/H83</f>
        <v>#DIV/0!</v>
      </c>
      <c r="L83" s="271" t="s">
        <v>40</v>
      </c>
    </row>
    <row r="84" spans="1:12" ht="15.75" thickBot="1" x14ac:dyDescent="0.3"/>
    <row r="85" spans="1:12" ht="20.25" thickBot="1" x14ac:dyDescent="0.3">
      <c r="A85" s="338" t="s">
        <v>47</v>
      </c>
      <c r="B85" s="341"/>
      <c r="C85" s="341"/>
      <c r="D85" s="341"/>
      <c r="E85" s="342">
        <f>I83</f>
        <v>19833000</v>
      </c>
      <c r="F85" s="343"/>
      <c r="G85" s="343"/>
      <c r="H85" s="343"/>
      <c r="I85" s="344"/>
    </row>
    <row r="86" spans="1:12" ht="17.25" x14ac:dyDescent="0.3">
      <c r="A86" s="328" t="s">
        <v>138</v>
      </c>
      <c r="B86" s="328"/>
      <c r="C86" s="328"/>
      <c r="D86" s="328"/>
      <c r="E86" s="328" t="s">
        <v>139</v>
      </c>
      <c r="F86" s="328"/>
      <c r="G86" s="328"/>
      <c r="H86" s="328"/>
      <c r="I86" s="328"/>
    </row>
    <row r="87" spans="1:12" ht="15.75" thickBot="1" x14ac:dyDescent="0.3"/>
    <row r="88" spans="1:12" ht="20.25" thickBot="1" x14ac:dyDescent="0.3">
      <c r="A88" s="338" t="s">
        <v>56</v>
      </c>
      <c r="B88" s="341"/>
      <c r="C88" s="341"/>
      <c r="D88" s="341"/>
      <c r="E88" s="341"/>
      <c r="F88" s="341"/>
      <c r="G88" s="341"/>
      <c r="H88" s="341"/>
      <c r="I88" s="345"/>
    </row>
    <row r="90" spans="1:12" ht="17.25" x14ac:dyDescent="0.25">
      <c r="A90" s="331" t="s">
        <v>29</v>
      </c>
      <c r="B90" s="332"/>
      <c r="C90" s="332"/>
      <c r="D90" s="333"/>
      <c r="E90" s="365">
        <f>IF($E$86="Medium",IF($E$85&gt;Data!J96,IF($E$85&gt;Data!J97,IF($E$85&gt;Data!J98,IF($E$85&gt;Data!J99,IF($E$85&gt;Data!J100,IF($E$85&gt;Data!J101,IF($E$85&gt;Data!J102,IF($E$85&gt;Data!J103,IF($E$85&gt;Data!J104,IF($E$85&gt;Data!J105,IF($E$85&gt;Data!J106,Data!K107,Data!K106),Data!K105),Data!K104),Data!K103),Data!K102),Data!K101),Data!K100),Data!K99),Data!K98),Data!K97),Data!K96),IF($E$85&gt;Data!J77,IF($E$85&gt;Data!J78,IF($E$85&gt;Data!J79,IF($E$85&gt;Data!J80,IF($E$85&gt;Data!J81,IF($E$85&gt;Data!J82,IF($E$85&gt;Data!J83,IF($E$85&gt;Data!J84,IF($E$85&gt;Data!J85,IF($E$85&gt;Data!J86,IF($E$85&gt;Data!J87,Data!K88,Data!K87),Data!K85),Data!K84),Data!K83),Data!K82),Data!K81),Data!K100),Data!K80),Data!K79),Data!K78),Data!K77))</f>
        <v>1444549.16</v>
      </c>
      <c r="F90" s="365"/>
      <c r="G90" s="365"/>
      <c r="H90" s="365"/>
      <c r="I90" s="366"/>
    </row>
    <row r="91" spans="1:12" ht="17.25" x14ac:dyDescent="0.25">
      <c r="A91" s="380" t="s">
        <v>61</v>
      </c>
      <c r="B91" s="381"/>
      <c r="C91" s="381"/>
      <c r="D91" s="382"/>
      <c r="E91" s="304">
        <f>IF($E$86="Medium",($E$85-(VLOOKUP($E$90,Data!K96:M107,3,FALSE)))*(VLOOKUP($E$90,Data!K96:M107,2,FALSE)),($E$85-(VLOOKUP($E$90,Data!K77:M88,3,FALSE)))*(VLOOKUP($E$90,Data!K77:M88,2,FALSE)))</f>
        <v>640252.00630000001</v>
      </c>
      <c r="F91" s="304"/>
      <c r="G91" s="304"/>
      <c r="H91" s="304"/>
      <c r="I91" s="386"/>
    </row>
    <row r="92" spans="1:12" ht="17.25" x14ac:dyDescent="0.25">
      <c r="A92" s="380"/>
      <c r="B92" s="381"/>
      <c r="C92" s="381"/>
      <c r="D92" s="382"/>
      <c r="E92" s="304">
        <f>E90+E91</f>
        <v>2084801.1662999999</v>
      </c>
      <c r="F92" s="304"/>
      <c r="G92" s="304"/>
      <c r="H92" s="304"/>
      <c r="I92" s="386"/>
    </row>
    <row r="93" spans="1:12" ht="17.25" x14ac:dyDescent="0.25">
      <c r="A93" s="380" t="s">
        <v>64</v>
      </c>
      <c r="B93" s="381"/>
      <c r="C93" s="381"/>
      <c r="D93" s="382"/>
      <c r="E93" s="293">
        <v>0</v>
      </c>
      <c r="F93" s="293"/>
      <c r="G93" s="293"/>
      <c r="H93" s="293"/>
      <c r="I93" s="389"/>
    </row>
    <row r="94" spans="1:12" ht="22.5" customHeight="1" x14ac:dyDescent="0.25">
      <c r="A94" s="383" t="s">
        <v>66</v>
      </c>
      <c r="B94" s="384"/>
      <c r="C94" s="384"/>
      <c r="D94" s="385"/>
      <c r="E94" s="387">
        <f>E92+E93</f>
        <v>2084801.1662999999</v>
      </c>
      <c r="F94" s="387"/>
      <c r="G94" s="387"/>
      <c r="H94" s="387"/>
      <c r="I94" s="388"/>
    </row>
    <row r="95" spans="1:12" ht="15.75" thickBot="1" x14ac:dyDescent="0.3"/>
    <row r="96" spans="1:12" ht="19.5" thickBot="1" x14ac:dyDescent="0.35">
      <c r="A96" s="390" t="s">
        <v>48</v>
      </c>
      <c r="B96" s="391"/>
      <c r="C96" s="391"/>
      <c r="D96" s="392"/>
      <c r="E96" s="187" t="s">
        <v>49</v>
      </c>
      <c r="F96" s="188" t="s">
        <v>50</v>
      </c>
      <c r="G96" s="324" t="s">
        <v>51</v>
      </c>
      <c r="H96" s="363"/>
      <c r="I96" s="188" t="s">
        <v>52</v>
      </c>
    </row>
    <row r="97" spans="1:13" ht="17.25" x14ac:dyDescent="0.3">
      <c r="A97" s="180" t="s">
        <v>54</v>
      </c>
      <c r="B97" s="328" t="s">
        <v>55</v>
      </c>
      <c r="C97" s="328"/>
      <c r="D97" s="328"/>
      <c r="E97" s="181">
        <v>0.4</v>
      </c>
      <c r="F97" s="140">
        <f>$E$94*E97</f>
        <v>833920.46652000002</v>
      </c>
      <c r="G97" s="364">
        <v>0</v>
      </c>
      <c r="H97" s="364"/>
      <c r="I97" s="182">
        <f>IF(G97=0,F97,F97-(F97*G97))</f>
        <v>833920.46652000002</v>
      </c>
      <c r="K97" s="6"/>
    </row>
    <row r="98" spans="1:13" ht="17.25" x14ac:dyDescent="0.3">
      <c r="A98" s="183" t="s">
        <v>57</v>
      </c>
      <c r="B98" s="300" t="s">
        <v>58</v>
      </c>
      <c r="C98" s="300"/>
      <c r="D98" s="300"/>
      <c r="E98" s="184">
        <v>0.2</v>
      </c>
      <c r="F98" s="6">
        <f>$E$94*E98</f>
        <v>416960.23326000001</v>
      </c>
      <c r="G98" s="329">
        <v>0</v>
      </c>
      <c r="H98" s="329"/>
      <c r="I98" s="150">
        <f>IF(G98=0,F98,F98-(F98*G98))</f>
        <v>416960.23326000001</v>
      </c>
      <c r="K98" s="6"/>
      <c r="L98" s="160"/>
      <c r="M98" s="160"/>
    </row>
    <row r="99" spans="1:13" ht="17.25" x14ac:dyDescent="0.3">
      <c r="A99" s="183" t="s">
        <v>75</v>
      </c>
      <c r="B99" s="300" t="s">
        <v>59</v>
      </c>
      <c r="C99" s="300"/>
      <c r="D99" s="300"/>
      <c r="E99" s="184">
        <v>0.1</v>
      </c>
      <c r="F99" s="6">
        <f>$E$94*E99</f>
        <v>208480.11663</v>
      </c>
      <c r="G99" s="329">
        <v>1</v>
      </c>
      <c r="H99" s="329"/>
      <c r="I99" s="150">
        <f>IF(G99=0,F99,F99-(F99*G99))</f>
        <v>0</v>
      </c>
      <c r="K99" s="6"/>
      <c r="L99" s="160"/>
      <c r="M99" s="160"/>
    </row>
    <row r="100" spans="1:13" ht="18" thickBot="1" x14ac:dyDescent="0.35">
      <c r="A100" s="185" t="s">
        <v>62</v>
      </c>
      <c r="B100" s="323" t="s">
        <v>63</v>
      </c>
      <c r="C100" s="323"/>
      <c r="D100" s="323"/>
      <c r="E100" s="186">
        <v>0.3</v>
      </c>
      <c r="F100" s="148">
        <f>$E$94*E100</f>
        <v>625440.34988999995</v>
      </c>
      <c r="G100" s="330">
        <v>1</v>
      </c>
      <c r="H100" s="330"/>
      <c r="I100" s="149">
        <f>IF(G100=0,F100,F100-(F100*G100))</f>
        <v>0</v>
      </c>
      <c r="K100" s="6"/>
      <c r="L100" s="160"/>
      <c r="M100" s="160"/>
    </row>
    <row r="101" spans="1:13" ht="18" thickBot="1" x14ac:dyDescent="0.35">
      <c r="A101" s="1"/>
      <c r="B101" s="1"/>
      <c r="C101" s="1"/>
      <c r="F101" s="1"/>
      <c r="G101" s="328"/>
      <c r="H101" s="328"/>
      <c r="I101" s="1"/>
    </row>
    <row r="102" spans="1:13" ht="19.5" thickBot="1" x14ac:dyDescent="0.35">
      <c r="A102" s="1"/>
      <c r="B102" s="1"/>
      <c r="C102" s="1"/>
      <c r="F102" s="324" t="s">
        <v>147</v>
      </c>
      <c r="G102" s="325"/>
      <c r="H102" s="325"/>
      <c r="I102" s="194">
        <f>I103*(1-(SUM(I97:I100)/I103))</f>
        <v>833920.46652000002</v>
      </c>
      <c r="K102" s="192"/>
    </row>
    <row r="103" spans="1:13" ht="19.5" thickBot="1" x14ac:dyDescent="0.35">
      <c r="B103" s="189"/>
      <c r="C103" s="189"/>
      <c r="F103" s="324" t="s">
        <v>65</v>
      </c>
      <c r="G103" s="325"/>
      <c r="H103" s="325"/>
      <c r="I103" s="194">
        <f>SUM(F97:F100)</f>
        <v>2084801.1662999999</v>
      </c>
    </row>
    <row r="104" spans="1:13" ht="15.75" thickBot="1" x14ac:dyDescent="0.3"/>
    <row r="105" spans="1:13" ht="18.75" thickBot="1" x14ac:dyDescent="0.3">
      <c r="F105" s="326" t="s">
        <v>146</v>
      </c>
      <c r="G105" s="327"/>
      <c r="H105" s="327"/>
      <c r="I105" s="190">
        <f>I103-I102</f>
        <v>1250880.6997799999</v>
      </c>
      <c r="L105" s="193"/>
    </row>
    <row r="106" spans="1:13" x14ac:dyDescent="0.25">
      <c r="L106" s="191"/>
    </row>
    <row r="107" spans="1:13" x14ac:dyDescent="0.25">
      <c r="D107" s="322"/>
      <c r="E107" s="322"/>
    </row>
    <row r="108" spans="1:13" x14ac:dyDescent="0.25">
      <c r="D108" s="322"/>
      <c r="E108" s="322"/>
    </row>
    <row r="109" spans="1:13" x14ac:dyDescent="0.25">
      <c r="D109" s="322"/>
      <c r="E109" s="322"/>
    </row>
  </sheetData>
  <mergeCells count="107">
    <mergeCell ref="A1:I16"/>
    <mergeCell ref="A17:I17"/>
    <mergeCell ref="H47:I47"/>
    <mergeCell ref="H55:I55"/>
    <mergeCell ref="D56:F56"/>
    <mergeCell ref="H56:I56"/>
    <mergeCell ref="A50:B50"/>
    <mergeCell ref="H50:I50"/>
    <mergeCell ref="A51:B51"/>
    <mergeCell ref="H51:I51"/>
    <mergeCell ref="A52:B52"/>
    <mergeCell ref="H52:I52"/>
    <mergeCell ref="A19:C19"/>
    <mergeCell ref="A20:C20"/>
    <mergeCell ref="A30:B30"/>
    <mergeCell ref="A32:B32"/>
    <mergeCell ref="H32:I32"/>
    <mergeCell ref="A24:B24"/>
    <mergeCell ref="H24:I24"/>
    <mergeCell ref="A25:B25"/>
    <mergeCell ref="H25:I25"/>
    <mergeCell ref="A28:B28"/>
    <mergeCell ref="H28:I28"/>
    <mergeCell ref="H26:I26"/>
    <mergeCell ref="B29:C29"/>
    <mergeCell ref="H31:I31"/>
    <mergeCell ref="H20:I20"/>
    <mergeCell ref="H58:I58"/>
    <mergeCell ref="H46:I46"/>
    <mergeCell ref="A43:C43"/>
    <mergeCell ref="A44:C44"/>
    <mergeCell ref="D57:F57"/>
    <mergeCell ref="H57:I57"/>
    <mergeCell ref="H44:I44"/>
    <mergeCell ref="A21:B21"/>
    <mergeCell ref="H21:I21"/>
    <mergeCell ref="H22:I22"/>
    <mergeCell ref="A45:B45"/>
    <mergeCell ref="H45:I45"/>
    <mergeCell ref="H33:I33"/>
    <mergeCell ref="H35:I35"/>
    <mergeCell ref="H36:I36"/>
    <mergeCell ref="B46:C46"/>
    <mergeCell ref="H53:I53"/>
    <mergeCell ref="B97:D97"/>
    <mergeCell ref="A91:D91"/>
    <mergeCell ref="A92:D92"/>
    <mergeCell ref="A93:D93"/>
    <mergeCell ref="A94:D94"/>
    <mergeCell ref="E91:I91"/>
    <mergeCell ref="E92:I92"/>
    <mergeCell ref="E94:I94"/>
    <mergeCell ref="E93:I93"/>
    <mergeCell ref="A96:D96"/>
    <mergeCell ref="K21:M21"/>
    <mergeCell ref="K24:M24"/>
    <mergeCell ref="G96:H96"/>
    <mergeCell ref="G97:H97"/>
    <mergeCell ref="E90:I90"/>
    <mergeCell ref="E63:F63"/>
    <mergeCell ref="G63:H63"/>
    <mergeCell ref="H37:I37"/>
    <mergeCell ref="F35:G35"/>
    <mergeCell ref="F36:G36"/>
    <mergeCell ref="F37:G37"/>
    <mergeCell ref="H29:I29"/>
    <mergeCell ref="H30:I30"/>
    <mergeCell ref="H23:I23"/>
    <mergeCell ref="L52:L53"/>
    <mergeCell ref="L54:L55"/>
    <mergeCell ref="A90:D90"/>
    <mergeCell ref="A54:B54"/>
    <mergeCell ref="H54:I54"/>
    <mergeCell ref="A62:B62"/>
    <mergeCell ref="A63:D63"/>
    <mergeCell ref="A86:D86"/>
    <mergeCell ref="A85:D85"/>
    <mergeCell ref="E85:I85"/>
    <mergeCell ref="E86:I86"/>
    <mergeCell ref="A88:I88"/>
    <mergeCell ref="B79:D79"/>
    <mergeCell ref="B74:D74"/>
    <mergeCell ref="B75:D75"/>
    <mergeCell ref="B76:D76"/>
    <mergeCell ref="B77:D77"/>
    <mergeCell ref="B78:D78"/>
    <mergeCell ref="B71:D71"/>
    <mergeCell ref="B72:D72"/>
    <mergeCell ref="B73:D73"/>
    <mergeCell ref="B65:C65"/>
    <mergeCell ref="B66:C66"/>
    <mergeCell ref="B68:C68"/>
    <mergeCell ref="C67:D67"/>
    <mergeCell ref="C69:D69"/>
    <mergeCell ref="D108:E108"/>
    <mergeCell ref="D109:E109"/>
    <mergeCell ref="B98:D98"/>
    <mergeCell ref="B99:D99"/>
    <mergeCell ref="B100:D100"/>
    <mergeCell ref="F102:H102"/>
    <mergeCell ref="F103:H103"/>
    <mergeCell ref="F105:H105"/>
    <mergeCell ref="G101:H101"/>
    <mergeCell ref="D107:E107"/>
    <mergeCell ref="G98:H98"/>
    <mergeCell ref="G99:H99"/>
    <mergeCell ref="G100:H100"/>
  </mergeCells>
  <dataValidations count="2">
    <dataValidation type="list" allowBlank="1" showInputMessage="1" showErrorMessage="1" sqref="E86" xr:uid="{A7818786-B2B9-4291-9E11-4930828A1787}">
      <formula1>"Medium,High"</formula1>
    </dataValidation>
    <dataValidation type="list" allowBlank="1" showInputMessage="1" showErrorMessage="1" sqref="D22:D26 D29:D32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406"/>
      <c r="B2" s="406"/>
      <c r="C2" s="406"/>
      <c r="D2" s="406"/>
      <c r="E2" s="406"/>
      <c r="H2" s="337" t="s">
        <v>87</v>
      </c>
      <c r="I2" s="337"/>
    </row>
    <row r="3" spans="1:19" ht="21" thickBot="1" x14ac:dyDescent="0.35">
      <c r="A3" s="406"/>
      <c r="B3" s="406"/>
      <c r="C3" s="406"/>
      <c r="D3" s="406"/>
      <c r="E3" s="406"/>
      <c r="H3" s="338" t="s">
        <v>18</v>
      </c>
      <c r="I3" s="341"/>
      <c r="J3" s="341"/>
      <c r="K3" s="439"/>
      <c r="L3" s="440" t="s">
        <v>20</v>
      </c>
      <c r="M3" s="441"/>
      <c r="N3" s="440" t="s">
        <v>19</v>
      </c>
      <c r="O3" s="441"/>
      <c r="P3" s="440" t="s">
        <v>21</v>
      </c>
      <c r="Q3" s="442"/>
      <c r="R3" s="443"/>
    </row>
    <row r="4" spans="1:19" x14ac:dyDescent="0.3">
      <c r="A4" s="406"/>
      <c r="B4" s="406"/>
      <c r="C4" s="406"/>
      <c r="D4" s="406"/>
      <c r="E4" s="406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406"/>
      <c r="B5" s="406"/>
      <c r="C5" s="406"/>
      <c r="D5" s="406"/>
      <c r="E5" s="406"/>
      <c r="H5" s="1" t="s">
        <v>137</v>
      </c>
      <c r="I5" s="49" t="s">
        <v>136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406"/>
      <c r="B6" s="406"/>
      <c r="C6" s="406"/>
      <c r="D6" s="406"/>
      <c r="E6" s="406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406"/>
      <c r="B7" s="406"/>
      <c r="C7" s="406"/>
      <c r="D7" s="406"/>
      <c r="E7" s="406"/>
      <c r="L7" s="90"/>
      <c r="M7" s="90"/>
      <c r="N7" s="5"/>
      <c r="P7" s="127">
        <f>N7*L7</f>
        <v>0</v>
      </c>
    </row>
    <row r="8" spans="1:19" x14ac:dyDescent="0.3">
      <c r="A8" s="406"/>
      <c r="B8" s="406"/>
      <c r="C8" s="406"/>
      <c r="D8" s="406"/>
      <c r="E8" s="406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406"/>
      <c r="B9" s="406"/>
      <c r="C9" s="406"/>
      <c r="D9" s="406"/>
      <c r="E9" s="406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406"/>
      <c r="B10" s="406"/>
      <c r="C10" s="406"/>
      <c r="D10" s="406"/>
      <c r="E10" s="406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406"/>
      <c r="B11" s="406"/>
      <c r="C11" s="406"/>
      <c r="D11" s="406"/>
      <c r="E11" s="406"/>
    </row>
    <row r="12" spans="1:19" ht="21" thickBot="1" x14ac:dyDescent="0.35">
      <c r="A12" s="406"/>
      <c r="B12" s="406"/>
      <c r="C12" s="406"/>
      <c r="D12" s="406"/>
      <c r="E12" s="406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406"/>
      <c r="B13" s="406"/>
      <c r="C13" s="406"/>
      <c r="D13" s="406"/>
      <c r="E13" s="406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406"/>
      <c r="B14" s="406"/>
      <c r="C14" s="406"/>
      <c r="D14" s="406"/>
      <c r="E14" s="406"/>
    </row>
    <row r="15" spans="1:19" ht="21" thickBot="1" x14ac:dyDescent="0.35">
      <c r="A15" s="406"/>
      <c r="B15" s="406"/>
      <c r="C15" s="406"/>
      <c r="D15" s="406"/>
      <c r="E15" s="406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406"/>
      <c r="B16" s="406"/>
      <c r="C16" s="406"/>
      <c r="D16" s="406"/>
      <c r="E16" s="406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34"/>
      <c r="B17" s="434"/>
      <c r="C17" s="434"/>
      <c r="D17" s="434"/>
      <c r="E17" s="434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407" t="s">
        <v>15</v>
      </c>
      <c r="B18" s="408"/>
      <c r="C18" s="408"/>
      <c r="D18" s="408"/>
      <c r="E18" s="409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445" t="s">
        <v>97</v>
      </c>
      <c r="B19" s="445"/>
      <c r="C19" s="445"/>
      <c r="D19" s="445"/>
      <c r="E19" s="445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449" t="s">
        <v>16</v>
      </c>
      <c r="B20" s="450"/>
      <c r="C20" s="450"/>
      <c r="D20" s="451"/>
      <c r="E20" s="119" t="s">
        <v>74</v>
      </c>
      <c r="F20" s="89">
        <v>150</v>
      </c>
      <c r="G20" s="1" t="s">
        <v>17</v>
      </c>
      <c r="H20" s="396" t="s">
        <v>82</v>
      </c>
      <c r="I20" s="397"/>
      <c r="J20" s="398"/>
      <c r="L20" s="3" t="s">
        <v>86</v>
      </c>
    </row>
    <row r="21" spans="1:21" ht="18" customHeight="1" thickBot="1" x14ac:dyDescent="0.35">
      <c r="A21" s="446" t="s">
        <v>71</v>
      </c>
      <c r="B21" s="447"/>
      <c r="C21" s="447"/>
      <c r="D21" s="448"/>
      <c r="E21" s="12" t="s">
        <v>4</v>
      </c>
      <c r="F21" s="89">
        <f>E22</f>
        <v>0</v>
      </c>
      <c r="G21" s="1" t="s">
        <v>17</v>
      </c>
      <c r="H21" s="399" t="s">
        <v>77</v>
      </c>
      <c r="I21" s="395"/>
      <c r="J21" s="395"/>
      <c r="K21" s="68" t="s">
        <v>79</v>
      </c>
      <c r="L21" s="68" t="s">
        <v>80</v>
      </c>
      <c r="M21" s="68" t="s">
        <v>78</v>
      </c>
      <c r="N21" s="111" t="s">
        <v>24</v>
      </c>
      <c r="O21" s="395" t="s">
        <v>5</v>
      </c>
      <c r="P21" s="395"/>
      <c r="Q21" s="124"/>
    </row>
    <row r="22" spans="1:21" ht="18" thickBot="1" x14ac:dyDescent="0.35">
      <c r="A22" s="91"/>
      <c r="B22" s="91">
        <v>1</v>
      </c>
      <c r="C22" s="452" t="s">
        <v>72</v>
      </c>
      <c r="D22" s="452"/>
      <c r="E22" s="444">
        <v>0</v>
      </c>
      <c r="F22" s="444"/>
      <c r="G22" s="1" t="s">
        <v>17</v>
      </c>
      <c r="H22" s="400" t="s">
        <v>83</v>
      </c>
      <c r="I22" s="401"/>
      <c r="J22" s="114"/>
      <c r="K22" s="114"/>
      <c r="L22" s="120"/>
      <c r="M22" s="121">
        <f>M24+M25</f>
        <v>28</v>
      </c>
      <c r="N22" s="122">
        <f>N24+N25</f>
        <v>3.5</v>
      </c>
      <c r="O22" s="402">
        <f>SUM(O23:P25)</f>
        <v>22464</v>
      </c>
      <c r="P22" s="403"/>
      <c r="Q22" s="2"/>
      <c r="R22" s="2"/>
    </row>
    <row r="23" spans="1:21" x14ac:dyDescent="0.3">
      <c r="A23" s="91"/>
      <c r="B23" s="91">
        <v>2</v>
      </c>
      <c r="C23" s="293" t="s">
        <v>73</v>
      </c>
      <c r="D23" s="293"/>
      <c r="E23" s="293">
        <v>0</v>
      </c>
      <c r="F23" s="293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22">
        <f>M23*L23</f>
        <v>4992</v>
      </c>
      <c r="P23" s="422"/>
      <c r="Q23" s="2"/>
      <c r="R23" s="2"/>
    </row>
    <row r="24" spans="1:21" x14ac:dyDescent="0.3">
      <c r="A24" s="91"/>
      <c r="H24" s="417" t="s">
        <v>108</v>
      </c>
      <c r="I24" s="417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77">
        <f>M24*L24</f>
        <v>9984</v>
      </c>
      <c r="P24" s="378"/>
      <c r="Q24" s="2"/>
      <c r="R24" s="2"/>
    </row>
    <row r="25" spans="1:21" ht="18" thickBot="1" x14ac:dyDescent="0.35">
      <c r="H25" s="334" t="s">
        <v>85</v>
      </c>
      <c r="I25" s="334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21">
        <f>M25*L25</f>
        <v>7488</v>
      </c>
      <c r="P25" s="420"/>
      <c r="Q25" s="2"/>
      <c r="R25" s="2"/>
    </row>
    <row r="26" spans="1:21" ht="18.75" thickBot="1" x14ac:dyDescent="0.35">
      <c r="A26" s="425" t="s">
        <v>44</v>
      </c>
      <c r="B26" s="426"/>
      <c r="C26" s="426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27">
        <v>1500000</v>
      </c>
      <c r="B27" s="293"/>
      <c r="C27" s="293"/>
      <c r="D27" s="5">
        <v>500</v>
      </c>
      <c r="E27" s="5"/>
      <c r="F27" s="30">
        <v>0</v>
      </c>
      <c r="H27" s="411" t="s">
        <v>88</v>
      </c>
      <c r="I27" s="412"/>
      <c r="J27" s="110"/>
      <c r="K27" s="110"/>
      <c r="L27" s="110"/>
      <c r="M27" s="123">
        <f>M28+M29</f>
        <v>32</v>
      </c>
      <c r="N27" s="123">
        <f>N28+N29</f>
        <v>4</v>
      </c>
      <c r="O27" s="402">
        <f>SUM(O28:P30)</f>
        <v>19968</v>
      </c>
      <c r="P27" s="314"/>
      <c r="Q27" s="2"/>
      <c r="R27" s="2"/>
      <c r="S27" s="147" t="s">
        <v>103</v>
      </c>
      <c r="T27" s="144" t="s">
        <v>105</v>
      </c>
      <c r="U27" s="19"/>
    </row>
    <row r="28" spans="1:21" x14ac:dyDescent="0.3">
      <c r="A28" s="428" t="s">
        <v>46</v>
      </c>
      <c r="B28" s="429"/>
      <c r="C28" s="430"/>
      <c r="F28" s="20"/>
      <c r="H28" s="413" t="s">
        <v>89</v>
      </c>
      <c r="I28" s="413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414">
        <f>M28*L28</f>
        <v>19968</v>
      </c>
      <c r="P28" s="415"/>
      <c r="Q28" s="2"/>
      <c r="R28" s="2"/>
      <c r="S28" s="143">
        <f>N27+N22</f>
        <v>7.5</v>
      </c>
      <c r="T28" s="127">
        <f>O34/S28</f>
        <v>5657.6</v>
      </c>
      <c r="U28" s="150"/>
    </row>
    <row r="29" spans="1:21" ht="18" thickBot="1" x14ac:dyDescent="0.35">
      <c r="A29" s="431">
        <f>F27</f>
        <v>0</v>
      </c>
      <c r="B29" s="432"/>
      <c r="C29" s="432"/>
      <c r="D29" s="21">
        <f>D27</f>
        <v>500</v>
      </c>
      <c r="E29" s="21"/>
      <c r="F29" s="36">
        <f>A29/D29</f>
        <v>0</v>
      </c>
      <c r="G29" s="1" t="s">
        <v>40</v>
      </c>
      <c r="H29" s="334" t="s">
        <v>90</v>
      </c>
      <c r="I29" s="334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335">
        <f>M29*L29</f>
        <v>0</v>
      </c>
      <c r="P29" s="336"/>
      <c r="Q29" s="2"/>
      <c r="R29" s="2"/>
      <c r="S29" s="151"/>
      <c r="U29" s="150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404">
        <f>M30*L30</f>
        <v>0</v>
      </c>
      <c r="P30" s="404"/>
      <c r="Q30" s="2"/>
      <c r="R30" s="2"/>
      <c r="S30" s="151"/>
      <c r="T30" s="6"/>
      <c r="U30" s="150"/>
    </row>
    <row r="31" spans="1:21" ht="18" thickBot="1" x14ac:dyDescent="0.35">
      <c r="S31" s="152"/>
      <c r="T31" s="21" t="s">
        <v>104</v>
      </c>
      <c r="U31" s="149">
        <v>2238.1190476190477</v>
      </c>
    </row>
    <row r="32" spans="1:21" ht="17.25" customHeight="1" x14ac:dyDescent="0.3">
      <c r="H32" s="116"/>
      <c r="I32" s="116"/>
      <c r="J32" s="116"/>
      <c r="K32" s="371" t="s">
        <v>91</v>
      </c>
      <c r="L32" s="371"/>
      <c r="M32" s="371"/>
      <c r="N32" s="116"/>
      <c r="O32" s="304">
        <f>O27+O22</f>
        <v>42432</v>
      </c>
      <c r="P32" s="293"/>
    </row>
    <row r="33" spans="8:21" ht="17.25" customHeight="1" thickBot="1" x14ac:dyDescent="0.35">
      <c r="H33" s="116"/>
      <c r="I33" s="116"/>
      <c r="J33" s="116"/>
      <c r="K33" s="371" t="s">
        <v>92</v>
      </c>
      <c r="L33" s="371"/>
      <c r="M33" s="371"/>
      <c r="N33" s="117">
        <v>0</v>
      </c>
      <c r="O33" s="304">
        <f>O32*N33</f>
        <v>0</v>
      </c>
      <c r="P33" s="293"/>
      <c r="U33" s="6"/>
    </row>
    <row r="34" spans="8:21" ht="19.5" thickBot="1" x14ac:dyDescent="0.35">
      <c r="N34" s="118" t="s">
        <v>93</v>
      </c>
      <c r="O34" s="369">
        <f>O32-O33</f>
        <v>42432</v>
      </c>
      <c r="P34" s="370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96" t="s">
        <v>95</v>
      </c>
      <c r="I39" s="397"/>
      <c r="J39" s="398"/>
      <c r="L39" s="3" t="s">
        <v>86</v>
      </c>
    </row>
    <row r="40" spans="8:21" ht="18" thickBot="1" x14ac:dyDescent="0.35">
      <c r="H40" s="399" t="s">
        <v>77</v>
      </c>
      <c r="I40" s="395"/>
      <c r="J40" s="395"/>
      <c r="K40" s="68" t="s">
        <v>79</v>
      </c>
      <c r="L40" s="68" t="s">
        <v>94</v>
      </c>
      <c r="M40" s="68" t="s">
        <v>96</v>
      </c>
      <c r="N40" s="111"/>
      <c r="O40" s="395" t="s">
        <v>5</v>
      </c>
      <c r="P40" s="395"/>
    </row>
    <row r="41" spans="8:21" ht="18" thickBot="1" x14ac:dyDescent="0.35">
      <c r="H41" s="400" t="s">
        <v>83</v>
      </c>
      <c r="I41" s="401"/>
      <c r="J41" s="114"/>
      <c r="K41" s="114"/>
      <c r="L41" s="120"/>
      <c r="M41" s="121" t="s">
        <v>115</v>
      </c>
      <c r="N41" s="122" t="s">
        <v>101</v>
      </c>
      <c r="O41" s="402">
        <f>SUM(O42:P48)</f>
        <v>18331</v>
      </c>
      <c r="P41" s="403"/>
      <c r="S41" s="147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453">
        <f>M42*L42</f>
        <v>4641</v>
      </c>
      <c r="P42" s="453"/>
      <c r="S42" s="153">
        <f>SUM(O44:P46)</f>
        <v>5500</v>
      </c>
      <c r="T42" s="148">
        <f>O50+S42</f>
        <v>14000</v>
      </c>
      <c r="U42" s="153">
        <f>T42/M51</f>
        <v>280</v>
      </c>
    </row>
    <row r="43" spans="8:21" x14ac:dyDescent="0.3">
      <c r="H43" s="433" t="s">
        <v>84</v>
      </c>
      <c r="I43" s="433"/>
      <c r="J43" s="6"/>
      <c r="K43" s="6" t="s">
        <v>81</v>
      </c>
      <c r="L43" s="6">
        <v>30</v>
      </c>
      <c r="M43" s="1">
        <f>N13</f>
        <v>273</v>
      </c>
      <c r="N43" s="107"/>
      <c r="O43" s="306">
        <f t="shared" ref="O43:O48" si="0">M43*L43</f>
        <v>8190</v>
      </c>
      <c r="P43" s="306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06">
        <f t="shared" si="0"/>
        <v>0</v>
      </c>
      <c r="P44" s="306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06">
        <f t="shared" si="0"/>
        <v>0</v>
      </c>
      <c r="P45" s="300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06">
        <f t="shared" si="0"/>
        <v>5500</v>
      </c>
      <c r="P46" s="300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06">
        <f t="shared" si="0"/>
        <v>0</v>
      </c>
      <c r="P47" s="300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04">
        <f t="shared" si="0"/>
        <v>0</v>
      </c>
      <c r="P48" s="304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411" t="s">
        <v>88</v>
      </c>
      <c r="I50" s="412"/>
      <c r="J50" s="110"/>
      <c r="K50" s="110"/>
      <c r="L50" s="110"/>
      <c r="M50" s="123"/>
      <c r="N50" s="123"/>
      <c r="O50" s="402">
        <f>SUM(O51:P54)</f>
        <v>8500</v>
      </c>
      <c r="P50" s="314"/>
    </row>
    <row r="51" spans="8:20" x14ac:dyDescent="0.3">
      <c r="H51" s="413" t="s">
        <v>112</v>
      </c>
      <c r="I51" s="413"/>
      <c r="J51" s="13"/>
      <c r="K51" s="13" t="s">
        <v>81</v>
      </c>
      <c r="L51" s="43">
        <v>170</v>
      </c>
      <c r="M51" s="13">
        <f>SUM(M44:M48)</f>
        <v>50</v>
      </c>
      <c r="N51" s="115"/>
      <c r="O51" s="414">
        <f>M51*L51</f>
        <v>8500</v>
      </c>
      <c r="P51" s="415"/>
    </row>
    <row r="52" spans="8:20" x14ac:dyDescent="0.3">
      <c r="H52" s="334" t="s">
        <v>90</v>
      </c>
      <c r="I52" s="334"/>
      <c r="J52" s="49"/>
      <c r="K52" s="49" t="s">
        <v>81</v>
      </c>
      <c r="L52" s="51">
        <v>0</v>
      </c>
      <c r="M52" s="49">
        <f>SUM(M44:M48)</f>
        <v>50</v>
      </c>
      <c r="N52" s="109"/>
      <c r="O52" s="335">
        <f>M52*L52</f>
        <v>0</v>
      </c>
      <c r="P52" s="336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19">
        <f>M53*L53</f>
        <v>0</v>
      </c>
      <c r="P53" s="419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19">
        <f>M54*L54</f>
        <v>0</v>
      </c>
      <c r="P54" s="419"/>
    </row>
    <row r="55" spans="8:20" x14ac:dyDescent="0.3">
      <c r="O55" s="410"/>
      <c r="P55" s="410"/>
    </row>
    <row r="56" spans="8:20" ht="18" x14ac:dyDescent="0.3">
      <c r="H56" s="116"/>
      <c r="I56" s="116"/>
      <c r="J56" s="116"/>
      <c r="K56" s="371" t="s">
        <v>91</v>
      </c>
      <c r="L56" s="371"/>
      <c r="M56" s="371"/>
      <c r="N56" s="116"/>
      <c r="O56" s="304">
        <f>O50+O41</f>
        <v>26831</v>
      </c>
      <c r="P56" s="293"/>
    </row>
    <row r="57" spans="8:20" ht="18.75" thickBot="1" x14ac:dyDescent="0.35">
      <c r="H57" s="116"/>
      <c r="I57" s="116"/>
      <c r="J57" s="116"/>
      <c r="K57" s="371" t="s">
        <v>92</v>
      </c>
      <c r="L57" s="371"/>
      <c r="M57" s="371"/>
      <c r="N57" s="117">
        <v>0</v>
      </c>
      <c r="O57" s="304">
        <f>O56*N57</f>
        <v>0</v>
      </c>
      <c r="P57" s="293"/>
    </row>
    <row r="58" spans="8:20" ht="19.5" thickBot="1" x14ac:dyDescent="0.35">
      <c r="N58" s="118" t="s">
        <v>93</v>
      </c>
      <c r="O58" s="369">
        <f>O56-O57</f>
        <v>26831</v>
      </c>
      <c r="P58" s="370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140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37" t="s">
        <v>26</v>
      </c>
      <c r="I72" s="437"/>
      <c r="J72" s="437"/>
      <c r="K72" s="437"/>
      <c r="L72" s="437"/>
      <c r="M72" s="437"/>
      <c r="T72" s="1" t="s">
        <v>138</v>
      </c>
      <c r="U72" s="1" t="s">
        <v>139</v>
      </c>
    </row>
    <row r="73" spans="8:32" ht="18" thickBot="1" x14ac:dyDescent="0.35">
      <c r="H73" s="438" t="s">
        <v>27</v>
      </c>
      <c r="I73" s="438" t="s">
        <v>28</v>
      </c>
      <c r="J73" s="438"/>
      <c r="K73" s="438" t="s">
        <v>29</v>
      </c>
      <c r="L73" s="438" t="s">
        <v>30</v>
      </c>
      <c r="M73" s="438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38"/>
      <c r="I74" s="14"/>
      <c r="J74" s="14"/>
      <c r="K74" s="438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38"/>
      <c r="I75" s="14" t="s">
        <v>31</v>
      </c>
      <c r="J75" s="14" t="s">
        <v>32</v>
      </c>
      <c r="K75" s="438"/>
      <c r="L75" s="14" t="s">
        <v>33</v>
      </c>
      <c r="M75" s="14" t="s">
        <v>34</v>
      </c>
      <c r="T75" s="435" t="s">
        <v>56</v>
      </c>
      <c r="U75" s="436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38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23" t="s">
        <v>65</v>
      </c>
      <c r="X79" s="424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141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2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2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141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5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5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cp:lastPrinted>2022-09-21T07:15:25Z</cp:lastPrinted>
  <dcterms:created xsi:type="dcterms:W3CDTF">2022-07-11T17:42:49Z</dcterms:created>
  <dcterms:modified xsi:type="dcterms:W3CDTF">2023-03-26T16:22:46Z</dcterms:modified>
</cp:coreProperties>
</file>