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- G Squared\Spekboom Development_Humansdorp\"/>
    </mc:Choice>
  </mc:AlternateContent>
  <xr:revisionPtr revIDLastSave="0" documentId="13_ncr:1_{CBF49C41-CF27-4B0A-85D1-B83D41F638D4}" xr6:coauthVersionLast="47" xr6:coauthVersionMax="47" xr10:uidLastSave="{00000000-0000-0000-0000-000000000000}"/>
  <bookViews>
    <workbookView xWindow="-28920" yWindow="-120" windowWidth="29040" windowHeight="15840" activeTab="2" xr2:uid="{A6C45247-5310-4588-876B-0369C11A1526}"/>
  </bookViews>
  <sheets>
    <sheet name="Client Fees" sheetId="1" r:id="rId1"/>
    <sheet name="SACAP - Court" sheetId="4" r:id="rId2"/>
    <sheet name="QS_BH Split" sheetId="2" r:id="rId3"/>
    <sheet name="Data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2" l="1"/>
  <c r="B36" i="2"/>
  <c r="D33" i="2"/>
  <c r="D32" i="2"/>
  <c r="D28" i="2"/>
  <c r="H20" i="4"/>
  <c r="I31" i="2"/>
  <c r="I30" i="2"/>
  <c r="L5" i="2"/>
  <c r="L8" i="2" s="1"/>
  <c r="L2" i="2"/>
  <c r="D3" i="2"/>
  <c r="D2" i="2"/>
  <c r="I54" i="5"/>
  <c r="J55" i="5" s="1"/>
  <c r="I35" i="5"/>
  <c r="J36" i="5" s="1"/>
  <c r="J18" i="5"/>
  <c r="I16" i="5"/>
  <c r="J16" i="5" s="1"/>
  <c r="B7" i="5"/>
  <c r="B8" i="5" s="1"/>
  <c r="L17" i="2" l="1"/>
  <c r="L12" i="2"/>
  <c r="L7" i="2"/>
  <c r="D5" i="2"/>
  <c r="J54" i="5"/>
  <c r="J56" i="5" s="1"/>
  <c r="J35" i="5"/>
  <c r="J37" i="5" s="1"/>
  <c r="J17" i="5"/>
  <c r="B9" i="5"/>
  <c r="L16" i="2" l="1"/>
  <c r="L18" i="2" s="1"/>
  <c r="L22" i="2" s="1"/>
  <c r="L11" i="2"/>
  <c r="L13" i="2" s="1"/>
  <c r="L21" i="2" s="1"/>
  <c r="D8" i="2"/>
  <c r="D7" i="2"/>
  <c r="B11" i="5"/>
  <c r="L24" i="2" l="1"/>
  <c r="K21" i="2" s="1"/>
  <c r="K13" i="2" s="1"/>
  <c r="K22" i="2"/>
  <c r="K18" i="2" s="1"/>
  <c r="D16" i="2"/>
  <c r="D11" i="2"/>
  <c r="D17" i="2"/>
  <c r="D12" i="2"/>
  <c r="B15" i="1"/>
  <c r="E9" i="1"/>
  <c r="E8" i="1"/>
  <c r="E14" i="1" s="1"/>
  <c r="E7" i="1"/>
  <c r="E6" i="1"/>
  <c r="E13" i="1" s="1"/>
  <c r="E5" i="1"/>
  <c r="E12" i="1" s="1"/>
  <c r="E15" i="1" l="1"/>
  <c r="E5" i="4" s="1"/>
  <c r="E6" i="4" s="1"/>
  <c r="E9" i="4" s="1"/>
  <c r="E10" i="1"/>
  <c r="E10" i="4" l="1"/>
  <c r="E11" i="4" s="1"/>
  <c r="E14" i="4" l="1"/>
  <c r="E13" i="4"/>
  <c r="E15" i="4" l="1"/>
  <c r="E17" i="4" s="1"/>
  <c r="E21" i="4" s="1"/>
  <c r="B21" i="1" l="1"/>
  <c r="B22" i="1"/>
  <c r="D13" i="2" l="1"/>
  <c r="D21" i="2" s="1"/>
  <c r="D18" i="2" l="1"/>
  <c r="D22" i="2" s="1"/>
  <c r="D24" i="2" l="1"/>
  <c r="C21" i="2" s="1"/>
  <c r="C13" i="2" s="1"/>
  <c r="C22" i="2"/>
  <c r="C18" i="2" s="1"/>
  <c r="E18" i="1"/>
  <c r="B18" i="1" s="1"/>
  <c r="E22" i="4"/>
  <c r="D21" i="1" l="1"/>
  <c r="E21" i="1" s="1"/>
  <c r="D22" i="1"/>
  <c r="E22" i="1" s="1"/>
  <c r="E23" i="1" l="1"/>
  <c r="E26" i="1" s="1"/>
  <c r="E28" i="1" s="1"/>
</calcChain>
</file>

<file path=xl/sharedStrings.xml><?xml version="1.0" encoding="utf-8"?>
<sst xmlns="http://schemas.openxmlformats.org/spreadsheetml/2006/main" count="172" uniqueCount="86">
  <si>
    <t>Single Unit</t>
  </si>
  <si>
    <t>m² PER UNIT</t>
  </si>
  <si>
    <t>Description</t>
  </si>
  <si>
    <t>Unit Price:</t>
  </si>
  <si>
    <t>Type A</t>
  </si>
  <si>
    <t>1 Unit per Type</t>
  </si>
  <si>
    <t>Total Build:</t>
  </si>
  <si>
    <t>Repetitive Units</t>
  </si>
  <si>
    <t>QTY</t>
  </si>
  <si>
    <t>All Unit Price:</t>
  </si>
  <si>
    <t>Type B.1</t>
  </si>
  <si>
    <t>SACAP ARCHITECTURAL FEES (based on Total Build)</t>
  </si>
  <si>
    <t>Total</t>
  </si>
  <si>
    <t>Stages/Fee Breakdown</t>
  </si>
  <si>
    <t>Stage 1-3 (Design)</t>
  </si>
  <si>
    <t>Stage 4.1 (Municipal)</t>
  </si>
  <si>
    <t>Total Fees: (excl. VAT)</t>
  </si>
  <si>
    <t>COURT</t>
  </si>
  <si>
    <t>Type B.2</t>
  </si>
  <si>
    <t>Type C.1</t>
  </si>
  <si>
    <t>Type C.2</t>
  </si>
  <si>
    <t>Total Fees: ( Excl. VAT)</t>
  </si>
  <si>
    <t>COURT:</t>
  </si>
  <si>
    <t>Total Architectural Fees:</t>
  </si>
  <si>
    <t>G Squared</t>
  </si>
  <si>
    <t>Percentage</t>
  </si>
  <si>
    <t>Design</t>
  </si>
  <si>
    <t>Municipal</t>
  </si>
  <si>
    <t>Total Fees:</t>
  </si>
  <si>
    <t>Excl. VAT</t>
  </si>
  <si>
    <t>Blackhound Fees</t>
  </si>
  <si>
    <t>Design (Changes 3D's)</t>
  </si>
  <si>
    <t>Municipal (SDP)</t>
  </si>
  <si>
    <t>Estimated Build Cost: (For Cost Based Fees)</t>
  </si>
  <si>
    <t>Building</t>
  </si>
  <si>
    <t>Project Cost</t>
  </si>
  <si>
    <t>Complexity</t>
  </si>
  <si>
    <t>Primary Fee</t>
  </si>
  <si>
    <t>Secondary fee</t>
  </si>
  <si>
    <t>Stages 1 - 6</t>
  </si>
  <si>
    <t>Work Stages</t>
  </si>
  <si>
    <t>Municipal Submission</t>
  </si>
  <si>
    <t>Stages 1 - 3</t>
  </si>
  <si>
    <t>Stage 4.1</t>
  </si>
  <si>
    <t>Low</t>
  </si>
  <si>
    <t>% of Fee</t>
  </si>
  <si>
    <t>Est. Build cost</t>
  </si>
  <si>
    <t>Final Fees (ex VAT)</t>
  </si>
  <si>
    <t xml:space="preserve">Total (ex.VAT) </t>
  </si>
  <si>
    <t>FINAL FIGURE</t>
  </si>
  <si>
    <t>over and above SACAP rates:</t>
  </si>
  <si>
    <t>Grand Total:</t>
  </si>
  <si>
    <t>Sub total (Single &amp; Repetitive fees)</t>
  </si>
  <si>
    <t>Court</t>
  </si>
  <si>
    <t>( Excl. VAT)</t>
  </si>
  <si>
    <t xml:space="preserve">(ex.VAT) </t>
  </si>
  <si>
    <t>Cost Bracket</t>
  </si>
  <si>
    <t>Value of Works</t>
  </si>
  <si>
    <t>Plus Secondary Fee</t>
  </si>
  <si>
    <t>(Project - E) * D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</si>
  <si>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</si>
  <si>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</si>
  <si>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</si>
  <si>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</si>
  <si>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</si>
  <si>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</si>
  <si>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</si>
  <si>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</si>
  <si>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</si>
  <si>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Professional Fees: (ex. VAT)</t>
  </si>
  <si>
    <t>2 x Bedroom, 2 x per floor</t>
  </si>
  <si>
    <t>1 x Bedroom, 4 x per floor</t>
  </si>
  <si>
    <t>Additional Services</t>
  </si>
  <si>
    <t>Total (Stages 1 - 6)</t>
  </si>
  <si>
    <r>
      <t xml:space="preserve">Table 1: Project Cost-based Fee </t>
    </r>
    <r>
      <rPr>
        <b/>
        <sz val="12"/>
        <color indexed="10"/>
        <rFont val="Century Gothic"/>
        <family val="2"/>
      </rPr>
      <t>HIGH COMPLEXITY</t>
    </r>
  </si>
  <si>
    <r>
      <t xml:space="preserve">Table 2: Project Cost-based Fee </t>
    </r>
    <r>
      <rPr>
        <b/>
        <sz val="12"/>
        <color indexed="10"/>
        <rFont val="Century Gothic"/>
        <family val="2"/>
      </rPr>
      <t>MEDIUM COMPLEXITY</t>
    </r>
  </si>
  <si>
    <r>
      <t xml:space="preserve">Table 2: Project Cost-based Fee </t>
    </r>
    <r>
      <rPr>
        <b/>
        <sz val="12"/>
        <color indexed="10"/>
        <rFont val="Century Gothic"/>
        <family val="2"/>
      </rPr>
      <t>LOW COMPLEXITY</t>
    </r>
  </si>
  <si>
    <t>Build Rate:</t>
  </si>
  <si>
    <t>Total Scope</t>
  </si>
  <si>
    <t>Original</t>
  </si>
  <si>
    <t>Additional SDP</t>
  </si>
  <si>
    <t>DESIGN</t>
  </si>
  <si>
    <t>MUNICIPAL</t>
  </si>
  <si>
    <t>Extra 23 Units + Updates</t>
  </si>
  <si>
    <t>Less 62%</t>
  </si>
  <si>
    <t>Excl. Marketing Package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</si>
</sst>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Century Gothic"/>
      <family val="2"/>
    </font>
    <font>
      <b/>
      <sz val="14"/>
      <color rgb="FF000000"/>
      <name val="Century Gothic"/>
      <family val="2"/>
    </font>
    <font>
      <sz val="12"/>
      <color rgb="FF000000"/>
      <name val="Century Gothic"/>
      <family val="2"/>
    </font>
    <font>
      <sz val="11"/>
      <color rgb="FF000000"/>
      <name val="Century Gothic"/>
      <family val="2"/>
    </font>
    <font>
      <sz val="11"/>
      <color rgb="FF000000"/>
      <name val="Calibri"/>
      <family val="2"/>
    </font>
    <font>
      <b/>
      <sz val="15"/>
      <color rgb="FF000000"/>
      <name val="Calibri"/>
      <family val="2"/>
      <scheme val="minor"/>
    </font>
    <font>
      <b/>
      <sz val="12"/>
      <color rgb="FF000000"/>
      <name val="Century Gothic"/>
    </font>
    <font>
      <sz val="11"/>
      <name val="Calibri"/>
      <family val="2"/>
    </font>
    <font>
      <b/>
      <sz val="24"/>
      <color rgb="FF000000"/>
      <name val="Century Gothic"/>
      <family val="2"/>
    </font>
    <font>
      <sz val="14"/>
      <color rgb="FF000000"/>
      <name val="Century Gothic"/>
      <family val="2"/>
    </font>
    <font>
      <sz val="14"/>
      <name val="Century Gothic"/>
      <family val="2"/>
    </font>
    <font>
      <b/>
      <sz val="14"/>
      <name val="Century Gothic"/>
      <family val="2"/>
    </font>
    <font>
      <sz val="12"/>
      <name val="Century Gothic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sz val="11"/>
      <color theme="1"/>
      <name val="Century Gothic"/>
      <family val="2"/>
    </font>
    <font>
      <b/>
      <sz val="12"/>
      <color rgb="FFFFFFFF"/>
      <name val="Century Gothic"/>
      <family val="2"/>
    </font>
    <font>
      <b/>
      <sz val="12"/>
      <color indexed="10"/>
      <name val="Century Gothic"/>
      <family val="2"/>
    </font>
  </fonts>
  <fills count="1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616D3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</fills>
  <borders count="4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3" borderId="0" applyNumberFormat="0" applyBorder="0" applyAlignment="0" applyProtection="0"/>
  </cellStyleXfs>
  <cellXfs count="276">
    <xf numFmtId="0" fontId="0" fillId="0" borderId="0" xfId="0"/>
    <xf numFmtId="0" fontId="6" fillId="0" borderId="15" xfId="0" applyFont="1" applyBorder="1"/>
    <xf numFmtId="0" fontId="0" fillId="0" borderId="0" xfId="0" applyAlignment="1">
      <alignment vertical="center"/>
    </xf>
    <xf numFmtId="0" fontId="0" fillId="0" borderId="15" xfId="0" applyBorder="1"/>
    <xf numFmtId="44" fontId="4" fillId="5" borderId="5" xfId="0" applyNumberFormat="1" applyFont="1" applyFill="1" applyBorder="1" applyAlignment="1">
      <alignment vertical="center"/>
    </xf>
    <xf numFmtId="0" fontId="4" fillId="6" borderId="2" xfId="0" applyFont="1" applyFill="1" applyBorder="1" applyAlignment="1">
      <alignment horizontal="left" vertical="center"/>
    </xf>
    <xf numFmtId="0" fontId="0" fillId="6" borderId="3" xfId="0" applyFill="1" applyBorder="1"/>
    <xf numFmtId="0" fontId="4" fillId="6" borderId="3" xfId="0" applyFont="1" applyFill="1" applyBorder="1" applyAlignment="1">
      <alignment horizontal="center" vertical="center"/>
    </xf>
    <xf numFmtId="0" fontId="6" fillId="6" borderId="15" xfId="0" applyFont="1" applyFill="1" applyBorder="1"/>
    <xf numFmtId="0" fontId="6" fillId="6" borderId="0" xfId="0" applyFont="1" applyFill="1"/>
    <xf numFmtId="0" fontId="6" fillId="6" borderId="9" xfId="0" applyFont="1" applyFill="1" applyBorder="1"/>
    <xf numFmtId="0" fontId="6" fillId="6" borderId="10" xfId="0" applyFont="1" applyFill="1" applyBorder="1"/>
    <xf numFmtId="0" fontId="4" fillId="6" borderId="13" xfId="0" applyFont="1" applyFill="1" applyBorder="1" applyAlignment="1">
      <alignment horizontal="center" vertical="center"/>
    </xf>
    <xf numFmtId="0" fontId="0" fillId="6" borderId="0" xfId="0" applyFill="1"/>
    <xf numFmtId="44" fontId="5" fillId="6" borderId="5" xfId="0" applyNumberFormat="1" applyFont="1" applyFill="1" applyBorder="1" applyAlignment="1">
      <alignment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14" xfId="0" applyFont="1" applyFill="1" applyBorder="1"/>
    <xf numFmtId="44" fontId="6" fillId="6" borderId="14" xfId="0" applyNumberFormat="1" applyFont="1" applyFill="1" applyBorder="1" applyAlignment="1">
      <alignment horizontal="right"/>
    </xf>
    <xf numFmtId="44" fontId="6" fillId="6" borderId="9" xfId="0" applyNumberFormat="1" applyFont="1" applyFill="1" applyBorder="1" applyAlignment="1">
      <alignment horizontal="right"/>
    </xf>
    <xf numFmtId="0" fontId="0" fillId="6" borderId="3" xfId="0" applyFill="1" applyBorder="1" applyAlignment="1">
      <alignment vertical="center"/>
    </xf>
    <xf numFmtId="0" fontId="9" fillId="8" borderId="2" xfId="0" applyFont="1" applyFill="1" applyBorder="1" applyAlignment="1">
      <alignment vertical="center"/>
    </xf>
    <xf numFmtId="0" fontId="0" fillId="8" borderId="3" xfId="0" applyFill="1" applyBorder="1" applyAlignment="1">
      <alignment vertical="center"/>
    </xf>
    <xf numFmtId="0" fontId="0" fillId="8" borderId="3" xfId="0" applyFill="1" applyBorder="1"/>
    <xf numFmtId="0" fontId="4" fillId="8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6" fillId="0" borderId="0" xfId="0" applyFont="1"/>
    <xf numFmtId="0" fontId="5" fillId="4" borderId="2" xfId="0" applyFont="1" applyFill="1" applyBorder="1" applyAlignment="1">
      <alignment horizontal="left"/>
    </xf>
    <xf numFmtId="0" fontId="0" fillId="4" borderId="10" xfId="0" applyFill="1" applyBorder="1" applyAlignment="1">
      <alignment vertical="center"/>
    </xf>
    <xf numFmtId="0" fontId="6" fillId="4" borderId="14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5" fillId="9" borderId="2" xfId="0" applyFont="1" applyFill="1" applyBorder="1" applyAlignment="1">
      <alignment horizontal="left"/>
    </xf>
    <xf numFmtId="0" fontId="8" fillId="9" borderId="4" xfId="0" applyFont="1" applyFill="1" applyBorder="1"/>
    <xf numFmtId="0" fontId="6" fillId="9" borderId="2" xfId="0" applyFont="1" applyFill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15" xfId="0" applyFont="1" applyFill="1" applyBorder="1" applyAlignment="1">
      <alignment horizontal="left" vertical="center"/>
    </xf>
    <xf numFmtId="0" fontId="0" fillId="9" borderId="0" xfId="0" applyFill="1" applyAlignment="1">
      <alignment vertical="center"/>
    </xf>
    <xf numFmtId="0" fontId="6" fillId="9" borderId="20" xfId="0" applyFont="1" applyFill="1" applyBorder="1" applyAlignment="1">
      <alignment horizontal="center"/>
    </xf>
    <xf numFmtId="164" fontId="6" fillId="9" borderId="0" xfId="0" applyNumberFormat="1" applyFont="1" applyFill="1" applyAlignment="1">
      <alignment horizontal="center"/>
    </xf>
    <xf numFmtId="0" fontId="6" fillId="9" borderId="7" xfId="0" applyFont="1" applyFill="1" applyBorder="1" applyAlignment="1">
      <alignment horizontal="left"/>
    </xf>
    <xf numFmtId="0" fontId="13" fillId="9" borderId="7" xfId="0" applyFont="1" applyFill="1" applyBorder="1" applyAlignment="1">
      <alignment horizontal="center"/>
    </xf>
    <xf numFmtId="0" fontId="13" fillId="9" borderId="7" xfId="0" applyFont="1" applyFill="1" applyBorder="1"/>
    <xf numFmtId="0" fontId="6" fillId="9" borderId="14" xfId="0" applyFont="1" applyFill="1" applyBorder="1" applyAlignment="1">
      <alignment horizontal="left" vertical="center"/>
    </xf>
    <xf numFmtId="0" fontId="6" fillId="9" borderId="7" xfId="0" applyFont="1" applyFill="1" applyBorder="1" applyAlignment="1">
      <alignment horizontal="left" vertical="center"/>
    </xf>
    <xf numFmtId="44" fontId="6" fillId="9" borderId="7" xfId="0" applyNumberFormat="1" applyFont="1" applyFill="1" applyBorder="1" applyAlignment="1">
      <alignment vertical="center"/>
    </xf>
    <xf numFmtId="0" fontId="6" fillId="9" borderId="9" xfId="0" applyFont="1" applyFill="1" applyBorder="1" applyAlignment="1">
      <alignment horizontal="left" vertical="center"/>
    </xf>
    <xf numFmtId="0" fontId="6" fillId="9" borderId="10" xfId="0" applyFont="1" applyFill="1" applyBorder="1" applyAlignment="1">
      <alignment horizontal="left" vertical="center"/>
    </xf>
    <xf numFmtId="44" fontId="6" fillId="9" borderId="10" xfId="0" applyNumberFormat="1" applyFont="1" applyFill="1" applyBorder="1" applyAlignment="1">
      <alignment vertical="center"/>
    </xf>
    <xf numFmtId="0" fontId="6" fillId="9" borderId="18" xfId="0" applyFont="1" applyFill="1" applyBorder="1" applyAlignment="1">
      <alignment horizontal="left" vertical="center"/>
    </xf>
    <xf numFmtId="0" fontId="6" fillId="9" borderId="14" xfId="0" applyFont="1" applyFill="1" applyBorder="1"/>
    <xf numFmtId="0" fontId="6" fillId="9" borderId="7" xfId="0" applyFont="1" applyFill="1" applyBorder="1" applyAlignment="1">
      <alignment horizontal="center"/>
    </xf>
    <xf numFmtId="0" fontId="6" fillId="9" borderId="9" xfId="0" applyFont="1" applyFill="1" applyBorder="1"/>
    <xf numFmtId="0" fontId="6" fillId="9" borderId="10" xfId="0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0" fillId="0" borderId="3" xfId="0" applyBorder="1"/>
    <xf numFmtId="0" fontId="5" fillId="10" borderId="2" xfId="0" applyFont="1" applyFill="1" applyBorder="1" applyAlignment="1">
      <alignment horizontal="left"/>
    </xf>
    <xf numFmtId="0" fontId="0" fillId="10" borderId="3" xfId="0" applyFill="1" applyBorder="1"/>
    <xf numFmtId="0" fontId="4" fillId="7" borderId="2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horizontal="center" vertical="center"/>
    </xf>
    <xf numFmtId="0" fontId="0" fillId="7" borderId="3" xfId="0" applyFill="1" applyBorder="1"/>
    <xf numFmtId="0" fontId="4" fillId="7" borderId="2" xfId="0" applyFont="1" applyFill="1" applyBorder="1" applyAlignment="1">
      <alignment horizontal="center" vertical="center"/>
    </xf>
    <xf numFmtId="0" fontId="9" fillId="12" borderId="2" xfId="0" applyFont="1" applyFill="1" applyBorder="1" applyAlignment="1">
      <alignment vertical="center"/>
    </xf>
    <xf numFmtId="0" fontId="0" fillId="12" borderId="3" xfId="0" applyFill="1" applyBorder="1" applyAlignment="1">
      <alignment vertical="center"/>
    </xf>
    <xf numFmtId="0" fontId="9" fillId="12" borderId="3" xfId="0" applyFont="1" applyFill="1" applyBorder="1" applyAlignment="1">
      <alignment horizontal="center" vertical="center"/>
    </xf>
    <xf numFmtId="0" fontId="0" fillId="12" borderId="7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11" fillId="12" borderId="3" xfId="0" applyFont="1" applyFill="1" applyBorder="1" applyAlignment="1">
      <alignment vertical="center"/>
    </xf>
    <xf numFmtId="0" fontId="9" fillId="13" borderId="2" xfId="0" applyFont="1" applyFill="1" applyBorder="1" applyAlignment="1">
      <alignment vertical="center"/>
    </xf>
    <xf numFmtId="0" fontId="0" fillId="13" borderId="3" xfId="0" applyFill="1" applyBorder="1"/>
    <xf numFmtId="0" fontId="0" fillId="12" borderId="3" xfId="0" applyFill="1" applyBorder="1"/>
    <xf numFmtId="0" fontId="5" fillId="12" borderId="2" xfId="0" applyFont="1" applyFill="1" applyBorder="1" applyAlignment="1">
      <alignment horizontal="left"/>
    </xf>
    <xf numFmtId="0" fontId="0" fillId="4" borderId="3" xfId="0" applyFill="1" applyBorder="1" applyAlignment="1">
      <alignment vertical="center"/>
    </xf>
    <xf numFmtId="0" fontId="9" fillId="4" borderId="3" xfId="0" applyFont="1" applyFill="1" applyBorder="1" applyAlignment="1">
      <alignment horizontal="center" vertical="center"/>
    </xf>
    <xf numFmtId="0" fontId="0" fillId="4" borderId="7" xfId="0" applyFill="1" applyBorder="1" applyAlignment="1">
      <alignment vertical="center"/>
    </xf>
    <xf numFmtId="0" fontId="9" fillId="4" borderId="2" xfId="0" applyFont="1" applyFill="1" applyBorder="1" applyAlignment="1">
      <alignment vertical="center"/>
    </xf>
    <xf numFmtId="0" fontId="11" fillId="4" borderId="3" xfId="0" applyFont="1" applyFill="1" applyBorder="1" applyAlignment="1">
      <alignment vertical="center"/>
    </xf>
    <xf numFmtId="0" fontId="6" fillId="12" borderId="14" xfId="0" applyFont="1" applyFill="1" applyBorder="1" applyAlignment="1">
      <alignment horizontal="left" vertical="center"/>
    </xf>
    <xf numFmtId="0" fontId="6" fillId="12" borderId="9" xfId="0" applyFont="1" applyFill="1" applyBorder="1" applyAlignment="1">
      <alignment horizontal="left" vertical="center"/>
    </xf>
    <xf numFmtId="9" fontId="1" fillId="4" borderId="21" xfId="1" applyFill="1" applyBorder="1" applyAlignment="1" applyProtection="1">
      <alignment horizontal="center"/>
      <protection locked="0"/>
    </xf>
    <xf numFmtId="9" fontId="1" fillId="4" borderId="22" xfId="1" applyFill="1" applyBorder="1" applyAlignment="1" applyProtection="1">
      <alignment horizontal="center"/>
      <protection locked="0"/>
    </xf>
    <xf numFmtId="9" fontId="1" fillId="12" borderId="21" xfId="1" applyFill="1" applyBorder="1" applyAlignment="1" applyProtection="1">
      <alignment horizontal="center"/>
      <protection locked="0"/>
    </xf>
    <xf numFmtId="9" fontId="1" fillId="12" borderId="22" xfId="1" applyFill="1" applyBorder="1" applyAlignment="1" applyProtection="1">
      <alignment horizontal="center"/>
      <protection locked="0"/>
    </xf>
    <xf numFmtId="0" fontId="4" fillId="10" borderId="3" xfId="0" applyFont="1" applyFill="1" applyBorder="1" applyAlignment="1">
      <alignment horizontal="center" vertical="center"/>
    </xf>
    <xf numFmtId="9" fontId="5" fillId="11" borderId="23" xfId="1" applyFont="1" applyFill="1" applyBorder="1" applyAlignment="1">
      <alignment horizontal="center"/>
    </xf>
    <xf numFmtId="0" fontId="4" fillId="0" borderId="23" xfId="0" applyFont="1" applyBorder="1" applyAlignment="1">
      <alignment horizontal="center" vertical="center"/>
    </xf>
    <xf numFmtId="0" fontId="6" fillId="0" borderId="35" xfId="0" applyFont="1" applyBorder="1"/>
    <xf numFmtId="0" fontId="6" fillId="0" borderId="37" xfId="0" applyFont="1" applyBorder="1"/>
    <xf numFmtId="0" fontId="7" fillId="15" borderId="25" xfId="0" applyFont="1" applyFill="1" applyBorder="1" applyAlignment="1">
      <alignment horizontal="center"/>
    </xf>
    <xf numFmtId="165" fontId="7" fillId="15" borderId="25" xfId="0" applyNumberFormat="1" applyFont="1" applyFill="1" applyBorder="1"/>
    <xf numFmtId="10" fontId="7" fillId="15" borderId="25" xfId="0" applyNumberFormat="1" applyFont="1" applyFill="1" applyBorder="1"/>
    <xf numFmtId="165" fontId="7" fillId="15" borderId="25" xfId="0" applyNumberFormat="1" applyFont="1" applyFill="1" applyBorder="1" applyAlignment="1">
      <alignment horizontal="center"/>
    </xf>
    <xf numFmtId="0" fontId="7" fillId="7" borderId="25" xfId="0" applyFont="1" applyFill="1" applyBorder="1" applyAlignment="1">
      <alignment horizontal="center"/>
    </xf>
    <xf numFmtId="165" fontId="7" fillId="7" borderId="25" xfId="0" applyNumberFormat="1" applyFont="1" applyFill="1" applyBorder="1"/>
    <xf numFmtId="10" fontId="7" fillId="7" borderId="25" xfId="0" applyNumberFormat="1" applyFont="1" applyFill="1" applyBorder="1"/>
    <xf numFmtId="165" fontId="7" fillId="7" borderId="25" xfId="0" applyNumberFormat="1" applyFont="1" applyFill="1" applyBorder="1" applyAlignment="1">
      <alignment horizontal="center"/>
    </xf>
    <xf numFmtId="0" fontId="7" fillId="14" borderId="25" xfId="0" applyFont="1" applyFill="1" applyBorder="1" applyAlignment="1">
      <alignment horizontal="center"/>
    </xf>
    <xf numFmtId="165" fontId="7" fillId="14" borderId="25" xfId="0" applyNumberFormat="1" applyFont="1" applyFill="1" applyBorder="1"/>
    <xf numFmtId="10" fontId="7" fillId="14" borderId="25" xfId="0" applyNumberFormat="1" applyFont="1" applyFill="1" applyBorder="1"/>
    <xf numFmtId="165" fontId="7" fillId="14" borderId="25" xfId="0" applyNumberFormat="1" applyFont="1" applyFill="1" applyBorder="1" applyAlignment="1">
      <alignment horizontal="center"/>
    </xf>
    <xf numFmtId="0" fontId="18" fillId="14" borderId="25" xfId="0" applyFont="1" applyFill="1" applyBorder="1" applyAlignment="1">
      <alignment horizontal="center" vertical="center"/>
    </xf>
    <xf numFmtId="0" fontId="18" fillId="7" borderId="25" xfId="0" applyFont="1" applyFill="1" applyBorder="1" applyAlignment="1">
      <alignment horizontal="center" vertical="center"/>
    </xf>
    <xf numFmtId="0" fontId="18" fillId="15" borderId="25" xfId="0" applyFont="1" applyFill="1" applyBorder="1" applyAlignment="1">
      <alignment horizontal="center" vertical="center"/>
    </xf>
    <xf numFmtId="0" fontId="6" fillId="0" borderId="26" xfId="0" applyFont="1" applyBorder="1"/>
    <xf numFmtId="164" fontId="6" fillId="0" borderId="6" xfId="0" applyNumberFormat="1" applyFont="1" applyBorder="1"/>
    <xf numFmtId="10" fontId="6" fillId="0" borderId="27" xfId="1" applyNumberFormat="1" applyFont="1" applyBorder="1" applyProtection="1"/>
    <xf numFmtId="0" fontId="6" fillId="0" borderId="28" xfId="0" applyFont="1" applyBorder="1"/>
    <xf numFmtId="0" fontId="6" fillId="0" borderId="29" xfId="0" applyFont="1" applyBorder="1"/>
    <xf numFmtId="0" fontId="6" fillId="0" borderId="18" xfId="0" applyFont="1" applyBorder="1"/>
    <xf numFmtId="0" fontId="6" fillId="0" borderId="24" xfId="0" applyFont="1" applyBorder="1"/>
    <xf numFmtId="164" fontId="6" fillId="0" borderId="30" xfId="0" applyNumberFormat="1" applyFont="1" applyBorder="1"/>
    <xf numFmtId="164" fontId="6" fillId="0" borderId="0" xfId="0" applyNumberFormat="1" applyFont="1"/>
    <xf numFmtId="165" fontId="6" fillId="0" borderId="0" xfId="0" applyNumberFormat="1" applyFont="1"/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/>
    <xf numFmtId="10" fontId="6" fillId="0" borderId="0" xfId="1" applyNumberFormat="1" applyFont="1" applyProtection="1"/>
    <xf numFmtId="0" fontId="19" fillId="0" borderId="0" xfId="0" applyFont="1"/>
    <xf numFmtId="0" fontId="20" fillId="2" borderId="31" xfId="2" applyFont="1" applyBorder="1" applyProtection="1"/>
    <xf numFmtId="164" fontId="20" fillId="2" borderId="32" xfId="2" applyNumberFormat="1" applyFont="1" applyBorder="1" applyProtection="1"/>
    <xf numFmtId="0" fontId="6" fillId="0" borderId="0" xfId="0" applyFont="1" applyAlignment="1">
      <alignment horizontal="center"/>
    </xf>
    <xf numFmtId="0" fontId="6" fillId="0" borderId="33" xfId="0" applyFont="1" applyBorder="1"/>
    <xf numFmtId="164" fontId="6" fillId="0" borderId="34" xfId="0" applyNumberFormat="1" applyFont="1" applyBorder="1"/>
    <xf numFmtId="164" fontId="6" fillId="0" borderId="36" xfId="0" applyNumberFormat="1" applyFont="1" applyBorder="1"/>
    <xf numFmtId="164" fontId="6" fillId="0" borderId="39" xfId="0" applyNumberFormat="1" applyFont="1" applyBorder="1"/>
    <xf numFmtId="0" fontId="6" fillId="0" borderId="39" xfId="0" applyFont="1" applyBorder="1"/>
    <xf numFmtId="164" fontId="4" fillId="0" borderId="38" xfId="0" applyNumberFormat="1" applyFont="1" applyBorder="1"/>
    <xf numFmtId="0" fontId="17" fillId="0" borderId="24" xfId="0" applyFont="1" applyBorder="1" applyAlignment="1">
      <alignment horizontal="left"/>
    </xf>
    <xf numFmtId="0" fontId="7" fillId="0" borderId="0" xfId="0" applyFont="1" applyAlignment="1">
      <alignment horizontal="center"/>
    </xf>
    <xf numFmtId="165" fontId="7" fillId="0" borderId="0" xfId="0" applyNumberFormat="1" applyFont="1"/>
    <xf numFmtId="165" fontId="7" fillId="0" borderId="0" xfId="0" applyNumberFormat="1" applyFont="1" applyAlignment="1">
      <alignment horizontal="center"/>
    </xf>
    <xf numFmtId="10" fontId="7" fillId="0" borderId="0" xfId="0" applyNumberFormat="1" applyFont="1"/>
    <xf numFmtId="2" fontId="0" fillId="0" borderId="0" xfId="0" applyNumberFormat="1"/>
    <xf numFmtId="44" fontId="0" fillId="0" borderId="0" xfId="0" applyNumberFormat="1"/>
    <xf numFmtId="0" fontId="0" fillId="6" borderId="7" xfId="0" applyFill="1" applyBorder="1"/>
    <xf numFmtId="9" fontId="0" fillId="0" borderId="0" xfId="1" applyFont="1"/>
    <xf numFmtId="0" fontId="0" fillId="8" borderId="0" xfId="0" applyFill="1" applyAlignment="1">
      <alignment vertical="center"/>
    </xf>
    <xf numFmtId="0" fontId="4" fillId="8" borderId="0" xfId="0" applyFont="1" applyFill="1" applyAlignment="1">
      <alignment horizontal="center" vertical="center"/>
    </xf>
    <xf numFmtId="0" fontId="9" fillId="8" borderId="14" xfId="0" applyFont="1" applyFill="1" applyBorder="1" applyAlignment="1">
      <alignment vertical="center"/>
    </xf>
    <xf numFmtId="0" fontId="0" fillId="8" borderId="7" xfId="0" applyFill="1" applyBorder="1" applyAlignment="1">
      <alignment vertical="center"/>
    </xf>
    <xf numFmtId="0" fontId="4" fillId="8" borderId="7" xfId="0" applyFont="1" applyFill="1" applyBorder="1" applyAlignment="1">
      <alignment horizontal="center" vertical="center"/>
    </xf>
    <xf numFmtId="0" fontId="9" fillId="8" borderId="15" xfId="0" applyFont="1" applyFill="1" applyBorder="1" applyAlignment="1">
      <alignment vertical="center"/>
    </xf>
    <xf numFmtId="0" fontId="9" fillId="8" borderId="9" xfId="0" applyFont="1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4" fillId="8" borderId="10" xfId="0" applyFont="1" applyFill="1" applyBorder="1" applyAlignment="1">
      <alignment horizontal="center" vertical="center"/>
    </xf>
    <xf numFmtId="10" fontId="10" fillId="13" borderId="19" xfId="0" applyNumberFormat="1" applyFont="1" applyFill="1" applyBorder="1" applyAlignment="1">
      <alignment horizontal="center" vertical="center"/>
    </xf>
    <xf numFmtId="10" fontId="10" fillId="12" borderId="19" xfId="0" applyNumberFormat="1" applyFont="1" applyFill="1" applyBorder="1" applyAlignment="1">
      <alignment horizontal="center" vertical="center"/>
    </xf>
    <xf numFmtId="10" fontId="10" fillId="4" borderId="19" xfId="0" applyNumberFormat="1" applyFont="1" applyFill="1" applyBorder="1" applyAlignment="1">
      <alignment horizontal="center" vertical="center"/>
    </xf>
    <xf numFmtId="9" fontId="4" fillId="8" borderId="7" xfId="1" applyFont="1" applyFill="1" applyBorder="1" applyAlignment="1">
      <alignment horizontal="center" vertical="center"/>
    </xf>
    <xf numFmtId="9" fontId="4" fillId="8" borderId="10" xfId="1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left" vertical="center"/>
    </xf>
    <xf numFmtId="0" fontId="12" fillId="6" borderId="3" xfId="0" applyFont="1" applyFill="1" applyBorder="1" applyAlignment="1">
      <alignment horizontal="left" vertical="center"/>
    </xf>
    <xf numFmtId="0" fontId="12" fillId="6" borderId="4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right"/>
    </xf>
    <xf numFmtId="0" fontId="4" fillId="6" borderId="3" xfId="0" applyFont="1" applyFill="1" applyBorder="1" applyAlignment="1">
      <alignment horizontal="right"/>
    </xf>
    <xf numFmtId="0" fontId="4" fillId="6" borderId="16" xfId="0" applyFont="1" applyFill="1" applyBorder="1" applyAlignment="1">
      <alignment horizontal="right"/>
    </xf>
    <xf numFmtId="44" fontId="5" fillId="7" borderId="5" xfId="0" applyNumberFormat="1" applyFont="1" applyFill="1" applyBorder="1" applyAlignment="1">
      <alignment vertical="center"/>
    </xf>
    <xf numFmtId="44" fontId="5" fillId="7" borderId="4" xfId="0" applyNumberFormat="1" applyFont="1" applyFill="1" applyBorder="1" applyAlignment="1">
      <alignment vertical="center"/>
    </xf>
    <xf numFmtId="44" fontId="5" fillId="5" borderId="5" xfId="0" applyNumberFormat="1" applyFont="1" applyFill="1" applyBorder="1" applyAlignment="1">
      <alignment horizontal="right" vertical="center"/>
    </xf>
    <xf numFmtId="44" fontId="5" fillId="5" borderId="4" xfId="0" applyNumberFormat="1" applyFont="1" applyFill="1" applyBorder="1" applyAlignment="1">
      <alignment horizontal="right" vertical="center"/>
    </xf>
    <xf numFmtId="0" fontId="4" fillId="7" borderId="2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horizontal="left" vertical="center"/>
    </xf>
    <xf numFmtId="0" fontId="4" fillId="7" borderId="4" xfId="0" applyFont="1" applyFill="1" applyBorder="1" applyAlignment="1">
      <alignment horizontal="left" vertical="center"/>
    </xf>
    <xf numFmtId="44" fontId="6" fillId="6" borderId="14" xfId="0" applyNumberFormat="1" applyFont="1" applyFill="1" applyBorder="1" applyAlignment="1">
      <alignment horizontal="center"/>
    </xf>
    <xf numFmtId="44" fontId="6" fillId="6" borderId="8" xfId="0" applyNumberFormat="1" applyFont="1" applyFill="1" applyBorder="1" applyAlignment="1">
      <alignment horizontal="center"/>
    </xf>
    <xf numFmtId="44" fontId="6" fillId="6" borderId="14" xfId="0" applyNumberFormat="1" applyFont="1" applyFill="1" applyBorder="1" applyAlignment="1">
      <alignment horizontal="right"/>
    </xf>
    <xf numFmtId="44" fontId="6" fillId="6" borderId="8" xfId="0" applyNumberFormat="1" applyFont="1" applyFill="1" applyBorder="1" applyAlignment="1">
      <alignment horizontal="right"/>
    </xf>
    <xf numFmtId="44" fontId="6" fillId="6" borderId="9" xfId="0" applyNumberFormat="1" applyFont="1" applyFill="1" applyBorder="1" applyAlignment="1">
      <alignment horizontal="center"/>
    </xf>
    <xf numFmtId="44" fontId="6" fillId="6" borderId="11" xfId="0" applyNumberFormat="1" applyFont="1" applyFill="1" applyBorder="1" applyAlignment="1">
      <alignment horizontal="center"/>
    </xf>
    <xf numFmtId="44" fontId="6" fillId="6" borderId="9" xfId="0" applyNumberFormat="1" applyFont="1" applyFill="1" applyBorder="1" applyAlignment="1">
      <alignment horizontal="right"/>
    </xf>
    <xf numFmtId="44" fontId="6" fillId="6" borderId="11" xfId="0" applyNumberFormat="1" applyFont="1" applyFill="1" applyBorder="1" applyAlignment="1">
      <alignment horizontal="right"/>
    </xf>
    <xf numFmtId="0" fontId="6" fillId="6" borderId="2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44" fontId="5" fillId="6" borderId="5" xfId="0" applyNumberFormat="1" applyFont="1" applyFill="1" applyBorder="1" applyAlignment="1">
      <alignment horizontal="center" vertical="center"/>
    </xf>
    <xf numFmtId="44" fontId="5" fillId="6" borderId="3" xfId="0" applyNumberFormat="1" applyFont="1" applyFill="1" applyBorder="1" applyAlignment="1">
      <alignment horizontal="center" vertical="center"/>
    </xf>
    <xf numFmtId="44" fontId="5" fillId="6" borderId="16" xfId="0" applyNumberFormat="1" applyFont="1" applyFill="1" applyBorder="1" applyAlignment="1">
      <alignment horizontal="center" vertical="center"/>
    </xf>
    <xf numFmtId="44" fontId="5" fillId="6" borderId="5" xfId="0" applyNumberFormat="1" applyFont="1" applyFill="1" applyBorder="1" applyAlignment="1">
      <alignment vertical="center"/>
    </xf>
    <xf numFmtId="44" fontId="5" fillId="6" borderId="4" xfId="0" applyNumberFormat="1" applyFont="1" applyFill="1" applyBorder="1" applyAlignment="1">
      <alignment vertical="center"/>
    </xf>
    <xf numFmtId="0" fontId="6" fillId="6" borderId="0" xfId="0" applyFont="1" applyFill="1" applyAlignment="1">
      <alignment horizontal="center"/>
    </xf>
    <xf numFmtId="44" fontId="6" fillId="6" borderId="0" xfId="0" applyNumberFormat="1" applyFont="1" applyFill="1" applyAlignment="1">
      <alignment horizontal="center"/>
    </xf>
    <xf numFmtId="44" fontId="6" fillId="6" borderId="17" xfId="0" applyNumberFormat="1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44" fontId="6" fillId="6" borderId="7" xfId="0" applyNumberFormat="1" applyFont="1" applyFill="1" applyBorder="1" applyAlignment="1">
      <alignment horizontal="center"/>
    </xf>
    <xf numFmtId="0" fontId="6" fillId="6" borderId="0" xfId="0" applyFont="1" applyFill="1" applyAlignment="1">
      <alignment horizontal="center" vertical="center"/>
    </xf>
    <xf numFmtId="44" fontId="7" fillId="6" borderId="0" xfId="0" applyNumberFormat="1" applyFont="1" applyFill="1" applyAlignment="1">
      <alignment horizontal="center"/>
    </xf>
    <xf numFmtId="44" fontId="7" fillId="6" borderId="17" xfId="0" applyNumberFormat="1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 vertical="center"/>
    </xf>
    <xf numFmtId="44" fontId="7" fillId="6" borderId="10" xfId="0" applyNumberFormat="1" applyFont="1" applyFill="1" applyBorder="1" applyAlignment="1">
      <alignment horizontal="center"/>
    </xf>
    <xf numFmtId="44" fontId="7" fillId="6" borderId="11" xfId="0" applyNumberFormat="1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 vertical="center"/>
    </xf>
    <xf numFmtId="44" fontId="7" fillId="6" borderId="7" xfId="0" applyNumberFormat="1" applyFont="1" applyFill="1" applyBorder="1" applyAlignment="1">
      <alignment horizontal="center"/>
    </xf>
    <xf numFmtId="44" fontId="7" fillId="6" borderId="8" xfId="0" applyNumberFormat="1" applyFont="1" applyFill="1" applyBorder="1" applyAlignment="1">
      <alignment horizontal="center"/>
    </xf>
    <xf numFmtId="0" fontId="17" fillId="9" borderId="2" xfId="3" applyFont="1" applyFill="1" applyBorder="1" applyAlignment="1" applyProtection="1">
      <alignment horizontal="center" vertical="center"/>
    </xf>
    <xf numFmtId="0" fontId="17" fillId="9" borderId="16" xfId="3" applyFont="1" applyFill="1" applyBorder="1" applyAlignment="1" applyProtection="1">
      <alignment horizontal="center" vertical="center"/>
    </xf>
    <xf numFmtId="44" fontId="5" fillId="5" borderId="5" xfId="0" applyNumberFormat="1" applyFont="1" applyFill="1" applyBorder="1" applyAlignment="1">
      <alignment horizontal="center" vertical="center"/>
    </xf>
    <xf numFmtId="44" fontId="5" fillId="5" borderId="4" xfId="0" applyNumberFormat="1" applyFont="1" applyFill="1" applyBorder="1" applyAlignment="1">
      <alignment horizontal="center" vertical="center"/>
    </xf>
    <xf numFmtId="44" fontId="5" fillId="0" borderId="13" xfId="0" applyNumberFormat="1" applyFont="1" applyBorder="1" applyAlignment="1">
      <alignment horizontal="center" vertical="center"/>
    </xf>
    <xf numFmtId="44" fontId="5" fillId="0" borderId="4" xfId="0" applyNumberFormat="1" applyFont="1" applyBorder="1" applyAlignment="1">
      <alignment horizontal="center" vertical="center"/>
    </xf>
    <xf numFmtId="44" fontId="5" fillId="0" borderId="3" xfId="0" applyNumberFormat="1" applyFont="1" applyBorder="1" applyAlignment="1">
      <alignment horizontal="center" vertical="center"/>
    </xf>
    <xf numFmtId="9" fontId="6" fillId="9" borderId="7" xfId="0" applyNumberFormat="1" applyFont="1" applyFill="1" applyBorder="1" applyAlignment="1">
      <alignment horizontal="center"/>
    </xf>
    <xf numFmtId="44" fontId="6" fillId="9" borderId="7" xfId="0" applyNumberFormat="1" applyFont="1" applyFill="1" applyBorder="1" applyAlignment="1">
      <alignment horizontal="center"/>
    </xf>
    <xf numFmtId="44" fontId="6" fillId="9" borderId="8" xfId="0" applyNumberFormat="1" applyFont="1" applyFill="1" applyBorder="1" applyAlignment="1">
      <alignment horizontal="center"/>
    </xf>
    <xf numFmtId="9" fontId="6" fillId="9" borderId="10" xfId="0" applyNumberFormat="1" applyFont="1" applyFill="1" applyBorder="1" applyAlignment="1">
      <alignment horizontal="center"/>
    </xf>
    <xf numFmtId="44" fontId="6" fillId="9" borderId="10" xfId="0" applyNumberFormat="1" applyFont="1" applyFill="1" applyBorder="1" applyAlignment="1">
      <alignment horizontal="center"/>
    </xf>
    <xf numFmtId="44" fontId="6" fillId="9" borderId="11" xfId="0" applyNumberFormat="1" applyFont="1" applyFill="1" applyBorder="1" applyAlignment="1">
      <alignment horizontal="center"/>
    </xf>
    <xf numFmtId="0" fontId="14" fillId="9" borderId="2" xfId="3" applyFont="1" applyFill="1" applyBorder="1" applyAlignment="1" applyProtection="1">
      <alignment horizontal="left"/>
    </xf>
    <xf numFmtId="0" fontId="14" fillId="9" borderId="4" xfId="3" applyFont="1" applyFill="1" applyBorder="1" applyAlignment="1" applyProtection="1">
      <alignment horizontal="left"/>
    </xf>
    <xf numFmtId="0" fontId="16" fillId="9" borderId="2" xfId="3" applyFont="1" applyFill="1" applyBorder="1" applyAlignment="1" applyProtection="1">
      <alignment horizontal="center"/>
    </xf>
    <xf numFmtId="0" fontId="16" fillId="9" borderId="4" xfId="3" applyFont="1" applyFill="1" applyBorder="1" applyAlignment="1" applyProtection="1">
      <alignment horizontal="center"/>
    </xf>
    <xf numFmtId="0" fontId="6" fillId="9" borderId="20" xfId="0" applyFont="1" applyFill="1" applyBorder="1" applyAlignment="1">
      <alignment horizontal="center"/>
    </xf>
    <xf numFmtId="0" fontId="6" fillId="9" borderId="4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/>
    </xf>
    <xf numFmtId="0" fontId="13" fillId="9" borderId="4" xfId="0" applyFont="1" applyFill="1" applyBorder="1" applyAlignment="1">
      <alignment horizontal="center"/>
    </xf>
    <xf numFmtId="44" fontId="4" fillId="9" borderId="5" xfId="0" applyNumberFormat="1" applyFont="1" applyFill="1" applyBorder="1" applyAlignment="1">
      <alignment horizontal="center"/>
    </xf>
    <xf numFmtId="44" fontId="4" fillId="9" borderId="4" xfId="0" applyNumberFormat="1" applyFont="1" applyFill="1" applyBorder="1" applyAlignment="1">
      <alignment horizontal="center"/>
    </xf>
    <xf numFmtId="0" fontId="0" fillId="0" borderId="0" xfId="0"/>
    <xf numFmtId="44" fontId="6" fillId="9" borderId="7" xfId="0" applyNumberFormat="1" applyFont="1" applyFill="1" applyBorder="1" applyAlignment="1">
      <alignment horizontal="center" vertical="center"/>
    </xf>
    <xf numFmtId="44" fontId="6" fillId="9" borderId="8" xfId="0" applyNumberFormat="1" applyFont="1" applyFill="1" applyBorder="1" applyAlignment="1">
      <alignment horizontal="center" vertical="center"/>
    </xf>
    <xf numFmtId="44" fontId="6" fillId="9" borderId="10" xfId="0" applyNumberFormat="1" applyFont="1" applyFill="1" applyBorder="1" applyAlignment="1">
      <alignment horizontal="center" vertical="center"/>
    </xf>
    <xf numFmtId="44" fontId="6" fillId="9" borderId="11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44" fontId="15" fillId="5" borderId="2" xfId="2" applyNumberFormat="1" applyFont="1" applyFill="1" applyBorder="1" applyAlignment="1" applyProtection="1">
      <alignment horizontal="center" vertical="center"/>
    </xf>
    <xf numFmtId="44" fontId="15" fillId="5" borderId="4" xfId="2" applyNumberFormat="1" applyFont="1" applyFill="1" applyBorder="1" applyAlignment="1" applyProtection="1">
      <alignment horizontal="center" vertical="center"/>
    </xf>
    <xf numFmtId="0" fontId="9" fillId="12" borderId="3" xfId="0" applyFont="1" applyFill="1" applyBorder="1" applyAlignment="1">
      <alignment horizontal="center" vertical="center"/>
    </xf>
    <xf numFmtId="0" fontId="9" fillId="12" borderId="4" xfId="0" applyFont="1" applyFill="1" applyBorder="1" applyAlignment="1">
      <alignment horizontal="center" vertical="center"/>
    </xf>
    <xf numFmtId="44" fontId="10" fillId="12" borderId="2" xfId="0" applyNumberFormat="1" applyFont="1" applyFill="1" applyBorder="1" applyAlignment="1">
      <alignment horizontal="center" vertical="center"/>
    </xf>
    <xf numFmtId="44" fontId="10" fillId="12" borderId="4" xfId="0" applyNumberFormat="1" applyFont="1" applyFill="1" applyBorder="1" applyAlignment="1">
      <alignment horizontal="center" vertical="center"/>
    </xf>
    <xf numFmtId="44" fontId="10" fillId="13" borderId="2" xfId="0" applyNumberFormat="1" applyFont="1" applyFill="1" applyBorder="1" applyAlignment="1">
      <alignment horizontal="center" vertical="center"/>
    </xf>
    <xf numFmtId="44" fontId="10" fillId="13" borderId="4" xfId="0" applyNumberFormat="1" applyFont="1" applyFill="1" applyBorder="1" applyAlignment="1">
      <alignment horizontal="center" vertical="center"/>
    </xf>
    <xf numFmtId="44" fontId="0" fillId="12" borderId="21" xfId="0" applyNumberFormat="1" applyFill="1" applyBorder="1" applyAlignment="1">
      <alignment horizontal="center" vertical="center"/>
    </xf>
    <xf numFmtId="44" fontId="0" fillId="12" borderId="8" xfId="0" applyNumberFormat="1" applyFill="1" applyBorder="1" applyAlignment="1">
      <alignment horizontal="center" vertical="center"/>
    </xf>
    <xf numFmtId="44" fontId="0" fillId="12" borderId="22" xfId="0" applyNumberFormat="1" applyFill="1" applyBorder="1" applyAlignment="1">
      <alignment horizontal="center" vertical="center"/>
    </xf>
    <xf numFmtId="44" fontId="0" fillId="12" borderId="11" xfId="0" applyNumberForma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44" fontId="0" fillId="4" borderId="21" xfId="0" applyNumberFormat="1" applyFill="1" applyBorder="1" applyAlignment="1">
      <alignment horizontal="center" vertical="center"/>
    </xf>
    <xf numFmtId="44" fontId="0" fillId="4" borderId="8" xfId="0" applyNumberFormat="1" applyFill="1" applyBorder="1" applyAlignment="1">
      <alignment horizontal="center" vertical="center"/>
    </xf>
    <xf numFmtId="44" fontId="0" fillId="4" borderId="22" xfId="0" applyNumberFormat="1" applyFill="1" applyBorder="1" applyAlignment="1">
      <alignment horizontal="center" vertical="center"/>
    </xf>
    <xf numFmtId="44" fontId="0" fillId="4" borderId="11" xfId="0" applyNumberFormat="1" applyFill="1" applyBorder="1" applyAlignment="1">
      <alignment horizontal="center" vertical="center"/>
    </xf>
    <xf numFmtId="44" fontId="10" fillId="4" borderId="9" xfId="0" applyNumberFormat="1" applyFont="1" applyFill="1" applyBorder="1" applyAlignment="1">
      <alignment horizontal="center" vertical="center"/>
    </xf>
    <xf numFmtId="44" fontId="10" fillId="4" borderId="11" xfId="0" applyNumberFormat="1" applyFont="1" applyFill="1" applyBorder="1" applyAlignment="1">
      <alignment horizontal="center" vertical="center"/>
    </xf>
    <xf numFmtId="44" fontId="10" fillId="8" borderId="10" xfId="0" applyNumberFormat="1" applyFont="1" applyFill="1" applyBorder="1" applyAlignment="1">
      <alignment horizontal="center" vertical="center"/>
    </xf>
    <xf numFmtId="44" fontId="10" fillId="8" borderId="11" xfId="0" applyNumberFormat="1" applyFont="1" applyFill="1" applyBorder="1" applyAlignment="1">
      <alignment horizontal="center" vertical="center"/>
    </xf>
    <xf numFmtId="44" fontId="10" fillId="8" borderId="2" xfId="0" applyNumberFormat="1" applyFont="1" applyFill="1" applyBorder="1" applyAlignment="1">
      <alignment horizontal="center" vertical="center"/>
    </xf>
    <xf numFmtId="44" fontId="10" fillId="8" borderId="4" xfId="0" applyNumberFormat="1" applyFont="1" applyFill="1" applyBorder="1" applyAlignment="1">
      <alignment horizontal="center" vertical="center"/>
    </xf>
    <xf numFmtId="44" fontId="10" fillId="8" borderId="7" xfId="0" applyNumberFormat="1" applyFont="1" applyFill="1" applyBorder="1" applyAlignment="1">
      <alignment horizontal="center" vertical="center"/>
    </xf>
    <xf numFmtId="44" fontId="10" fillId="8" borderId="8" xfId="0" applyNumberFormat="1" applyFont="1" applyFill="1" applyBorder="1" applyAlignment="1">
      <alignment horizontal="center" vertical="center"/>
    </xf>
    <xf numFmtId="44" fontId="10" fillId="8" borderId="0" xfId="0" applyNumberFormat="1" applyFont="1" applyFill="1" applyAlignment="1">
      <alignment horizontal="center" vertical="center"/>
    </xf>
    <xf numFmtId="44" fontId="10" fillId="8" borderId="17" xfId="0" applyNumberFormat="1" applyFont="1" applyFill="1" applyBorder="1" applyAlignment="1">
      <alignment horizontal="center" vertical="center"/>
    </xf>
    <xf numFmtId="0" fontId="18" fillId="14" borderId="26" xfId="0" applyFont="1" applyFill="1" applyBorder="1" applyAlignment="1">
      <alignment horizontal="center" vertical="center"/>
    </xf>
    <xf numFmtId="0" fontId="18" fillId="14" borderId="27" xfId="0" applyFont="1" applyFill="1" applyBorder="1" applyAlignment="1">
      <alignment horizontal="center" vertical="center"/>
    </xf>
    <xf numFmtId="0" fontId="18" fillId="14" borderId="18" xfId="0" applyFont="1" applyFill="1" applyBorder="1" applyAlignment="1">
      <alignment horizontal="center" vertical="center"/>
    </xf>
    <xf numFmtId="0" fontId="18" fillId="14" borderId="30" xfId="0" applyFont="1" applyFill="1" applyBorder="1" applyAlignment="1">
      <alignment horizontal="center" vertical="center"/>
    </xf>
    <xf numFmtId="0" fontId="18" fillId="15" borderId="25" xfId="0" applyFont="1" applyFill="1" applyBorder="1" applyAlignment="1">
      <alignment horizontal="center" vertical="center"/>
    </xf>
    <xf numFmtId="0" fontId="18" fillId="7" borderId="40" xfId="0" applyFont="1" applyFill="1" applyBorder="1" applyAlignment="1">
      <alignment horizontal="center" vertical="center"/>
    </xf>
    <xf numFmtId="0" fontId="18" fillId="7" borderId="41" xfId="0" applyFont="1" applyFill="1" applyBorder="1" applyAlignment="1">
      <alignment horizontal="center" vertical="center"/>
    </xf>
    <xf numFmtId="0" fontId="18" fillId="7" borderId="42" xfId="0" applyFont="1" applyFill="1" applyBorder="1" applyAlignment="1">
      <alignment horizontal="center" vertical="center"/>
    </xf>
    <xf numFmtId="0" fontId="18" fillId="14" borderId="40" xfId="0" applyFont="1" applyFill="1" applyBorder="1" applyAlignment="1">
      <alignment horizontal="center" vertical="center"/>
    </xf>
    <xf numFmtId="0" fontId="18" fillId="14" borderId="41" xfId="0" applyFont="1" applyFill="1" applyBorder="1" applyAlignment="1">
      <alignment horizontal="center" vertical="center"/>
    </xf>
    <xf numFmtId="0" fontId="18" fillId="14" borderId="42" xfId="0" applyFont="1" applyFill="1" applyBorder="1" applyAlignment="1">
      <alignment horizontal="center" vertical="center"/>
    </xf>
    <xf numFmtId="0" fontId="18" fillId="15" borderId="26" xfId="0" applyFont="1" applyFill="1" applyBorder="1" applyAlignment="1">
      <alignment horizontal="center" vertical="center"/>
    </xf>
    <xf numFmtId="0" fontId="18" fillId="15" borderId="27" xfId="0" applyFont="1" applyFill="1" applyBorder="1" applyAlignment="1">
      <alignment horizontal="center" vertical="center"/>
    </xf>
    <xf numFmtId="0" fontId="18" fillId="15" borderId="18" xfId="0" applyFont="1" applyFill="1" applyBorder="1" applyAlignment="1">
      <alignment horizontal="center" vertical="center"/>
    </xf>
    <xf numFmtId="0" fontId="18" fillId="15" borderId="30" xfId="0" applyFont="1" applyFill="1" applyBorder="1" applyAlignment="1">
      <alignment horizontal="center" vertical="center"/>
    </xf>
    <xf numFmtId="0" fontId="20" fillId="3" borderId="2" xfId="3" applyFont="1" applyBorder="1" applyAlignment="1" applyProtection="1">
      <alignment horizontal="left"/>
    </xf>
    <xf numFmtId="0" fontId="20" fillId="3" borderId="4" xfId="3" applyFont="1" applyBorder="1" applyAlignment="1" applyProtection="1">
      <alignment horizontal="left"/>
    </xf>
    <xf numFmtId="0" fontId="17" fillId="0" borderId="24" xfId="0" applyFont="1" applyBorder="1" applyAlignment="1">
      <alignment horizontal="left"/>
    </xf>
    <xf numFmtId="0" fontId="18" fillId="7" borderId="26" xfId="0" applyFont="1" applyFill="1" applyBorder="1" applyAlignment="1">
      <alignment horizontal="center" vertical="center"/>
    </xf>
    <xf numFmtId="0" fontId="18" fillId="7" borderId="27" xfId="0" applyFont="1" applyFill="1" applyBorder="1" applyAlignment="1">
      <alignment horizontal="center" vertical="center"/>
    </xf>
    <xf numFmtId="0" fontId="18" fillId="7" borderId="18" xfId="0" applyFont="1" applyFill="1" applyBorder="1" applyAlignment="1">
      <alignment horizontal="center" vertical="center"/>
    </xf>
    <xf numFmtId="0" fontId="18" fillId="7" borderId="30" xfId="0" applyFont="1" applyFill="1" applyBorder="1" applyAlignment="1">
      <alignment horizontal="center" vertical="center"/>
    </xf>
  </cellXfs>
  <cellStyles count="4">
    <cellStyle name="Accent3" xfId="3" builtinId="37"/>
    <cellStyle name="Check Cell" xfId="2" builtinId="2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CC446-4C5A-4E82-AB21-358027C2F538}">
  <dimension ref="A1:F28"/>
  <sheetViews>
    <sheetView workbookViewId="0">
      <selection activeCell="I23" sqref="I23"/>
    </sheetView>
  </sheetViews>
  <sheetFormatPr defaultRowHeight="15" x14ac:dyDescent="0.25"/>
  <cols>
    <col min="1" max="1" width="48.7109375" bestFit="1" customWidth="1"/>
    <col min="2" max="2" width="23" bestFit="1" customWidth="1"/>
    <col min="4" max="4" width="28.5703125" bestFit="1" customWidth="1"/>
    <col min="5" max="5" width="6.42578125" bestFit="1" customWidth="1"/>
    <col min="6" max="6" width="17.85546875" customWidth="1"/>
  </cols>
  <sheetData>
    <row r="1" spans="1:6" ht="15.75" thickBot="1" x14ac:dyDescent="0.3">
      <c r="D1" s="2"/>
      <c r="E1" s="2"/>
      <c r="F1" s="2"/>
    </row>
    <row r="2" spans="1:6" ht="30" thickBot="1" x14ac:dyDescent="0.3">
      <c r="A2" s="147" t="s">
        <v>17</v>
      </c>
      <c r="B2" s="148"/>
      <c r="C2" s="148"/>
      <c r="D2" s="148"/>
      <c r="E2" s="148"/>
      <c r="F2" s="149"/>
    </row>
    <row r="3" spans="1:6" ht="18.75" thickBot="1" x14ac:dyDescent="0.3">
      <c r="A3" s="150" t="s">
        <v>77</v>
      </c>
      <c r="B3" s="151"/>
      <c r="C3" s="151"/>
      <c r="D3" s="152"/>
      <c r="E3" s="153">
        <v>5500</v>
      </c>
      <c r="F3" s="154"/>
    </row>
    <row r="4" spans="1:6" ht="15.75" thickBot="1" x14ac:dyDescent="0.3">
      <c r="A4" s="56" t="s">
        <v>0</v>
      </c>
      <c r="B4" s="171" t="s">
        <v>1</v>
      </c>
      <c r="C4" s="171"/>
      <c r="D4" s="57" t="s">
        <v>2</v>
      </c>
      <c r="E4" s="171" t="s">
        <v>3</v>
      </c>
      <c r="F4" s="172"/>
    </row>
    <row r="5" spans="1:6" ht="17.25" x14ac:dyDescent="0.3">
      <c r="A5" s="8" t="s">
        <v>4</v>
      </c>
      <c r="B5" s="193">
        <v>39</v>
      </c>
      <c r="C5" s="193"/>
      <c r="D5" s="9" t="s">
        <v>71</v>
      </c>
      <c r="E5" s="194">
        <f>B5*$E$3</f>
        <v>214500</v>
      </c>
      <c r="F5" s="195"/>
    </row>
    <row r="6" spans="1:6" ht="17.25" x14ac:dyDescent="0.3">
      <c r="A6" s="8" t="s">
        <v>10</v>
      </c>
      <c r="B6" s="187">
        <v>52</v>
      </c>
      <c r="C6" s="187"/>
      <c r="D6" s="9" t="s">
        <v>70</v>
      </c>
      <c r="E6" s="188">
        <f>B6*$E$3</f>
        <v>286000</v>
      </c>
      <c r="F6" s="189"/>
    </row>
    <row r="7" spans="1:6" ht="17.25" x14ac:dyDescent="0.3">
      <c r="A7" s="8" t="s">
        <v>18</v>
      </c>
      <c r="B7" s="187">
        <v>48</v>
      </c>
      <c r="C7" s="187"/>
      <c r="D7" s="9" t="s">
        <v>70</v>
      </c>
      <c r="E7" s="188">
        <f>B7*$E$3</f>
        <v>264000</v>
      </c>
      <c r="F7" s="189"/>
    </row>
    <row r="8" spans="1:6" ht="17.25" x14ac:dyDescent="0.3">
      <c r="A8" s="8" t="s">
        <v>19</v>
      </c>
      <c r="B8" s="187">
        <v>62</v>
      </c>
      <c r="C8" s="187"/>
      <c r="D8" s="9" t="s">
        <v>70</v>
      </c>
      <c r="E8" s="188">
        <f>B8*$E$3</f>
        <v>341000</v>
      </c>
      <c r="F8" s="189"/>
    </row>
    <row r="9" spans="1:6" ht="18" thickBot="1" x14ac:dyDescent="0.35">
      <c r="A9" s="10" t="s">
        <v>20</v>
      </c>
      <c r="B9" s="190">
        <v>49</v>
      </c>
      <c r="C9" s="190"/>
      <c r="D9" s="11" t="s">
        <v>70</v>
      </c>
      <c r="E9" s="191">
        <f>B9*$E$3</f>
        <v>269500</v>
      </c>
      <c r="F9" s="192"/>
    </row>
    <row r="10" spans="1:6" ht="18.75" thickBot="1" x14ac:dyDescent="0.35">
      <c r="A10" s="1"/>
      <c r="B10" s="183" t="s">
        <v>5</v>
      </c>
      <c r="C10" s="184"/>
      <c r="D10" s="12" t="s">
        <v>6</v>
      </c>
      <c r="E10" s="153">
        <f>SUM(E5:E9)</f>
        <v>1375000</v>
      </c>
      <c r="F10" s="154"/>
    </row>
    <row r="11" spans="1:6" ht="15.75" thickBot="1" x14ac:dyDescent="0.3">
      <c r="A11" s="56" t="s">
        <v>7</v>
      </c>
      <c r="B11" s="171" t="s">
        <v>8</v>
      </c>
      <c r="C11" s="171"/>
      <c r="D11" s="58"/>
      <c r="E11" s="171" t="s">
        <v>9</v>
      </c>
      <c r="F11" s="172"/>
    </row>
    <row r="12" spans="1:6" ht="17.25" x14ac:dyDescent="0.3">
      <c r="A12" s="16" t="s">
        <v>4</v>
      </c>
      <c r="B12" s="185">
        <v>8</v>
      </c>
      <c r="C12" s="185"/>
      <c r="D12" s="131"/>
      <c r="E12" s="186">
        <f>E5*B12</f>
        <v>1716000</v>
      </c>
      <c r="F12" s="161"/>
    </row>
    <row r="13" spans="1:6" ht="17.25" x14ac:dyDescent="0.3">
      <c r="A13" s="8" t="s">
        <v>10</v>
      </c>
      <c r="B13" s="178">
        <v>8</v>
      </c>
      <c r="C13" s="178"/>
      <c r="D13" s="13"/>
      <c r="E13" s="179">
        <f>E6*B13</f>
        <v>2288000</v>
      </c>
      <c r="F13" s="180"/>
    </row>
    <row r="14" spans="1:6" ht="18" thickBot="1" x14ac:dyDescent="0.35">
      <c r="A14" s="8" t="s">
        <v>19</v>
      </c>
      <c r="B14" s="178">
        <v>8</v>
      </c>
      <c r="C14" s="178"/>
      <c r="D14" s="13"/>
      <c r="E14" s="179">
        <f>E8*B14</f>
        <v>2728000</v>
      </c>
      <c r="F14" s="180"/>
    </row>
    <row r="15" spans="1:6" ht="18.75" thickBot="1" x14ac:dyDescent="0.3">
      <c r="A15" s="3"/>
      <c r="B15" s="181" t="str">
        <f>CONCATENATE(SUM(B12:B14)," UNITS")</f>
        <v>24 UNITS</v>
      </c>
      <c r="C15" s="182"/>
      <c r="D15" s="12" t="s">
        <v>6</v>
      </c>
      <c r="E15" s="153">
        <f>SUM(E12:F14)</f>
        <v>6732000</v>
      </c>
      <c r="F15" s="154"/>
    </row>
    <row r="16" spans="1:6" ht="15.75" thickBot="1" x14ac:dyDescent="0.3">
      <c r="A16" s="157" t="s">
        <v>11</v>
      </c>
      <c r="B16" s="158"/>
      <c r="C16" s="158"/>
      <c r="D16" s="158"/>
      <c r="E16" s="158"/>
      <c r="F16" s="159"/>
    </row>
    <row r="17" spans="1:6" ht="15.75" thickBot="1" x14ac:dyDescent="0.3">
      <c r="A17" s="59" t="s">
        <v>0</v>
      </c>
      <c r="B17" s="170" t="s">
        <v>7</v>
      </c>
      <c r="C17" s="171"/>
      <c r="D17" s="172"/>
      <c r="E17" s="170" t="s">
        <v>12</v>
      </c>
      <c r="F17" s="172"/>
    </row>
    <row r="18" spans="1:6" ht="18.75" thickBot="1" x14ac:dyDescent="0.3">
      <c r="A18" s="14">
        <v>0</v>
      </c>
      <c r="B18" s="173">
        <f>E18-A18</f>
        <v>357502.42740689998</v>
      </c>
      <c r="C18" s="174"/>
      <c r="D18" s="175"/>
      <c r="E18" s="176">
        <f>'SACAP - Court'!E24</f>
        <v>357502.42740689998</v>
      </c>
      <c r="F18" s="177"/>
    </row>
    <row r="19" spans="1:6" ht="15.75" thickBot="1" x14ac:dyDescent="0.3">
      <c r="A19" s="157" t="s">
        <v>13</v>
      </c>
      <c r="B19" s="158"/>
      <c r="C19" s="158"/>
      <c r="D19" s="158"/>
      <c r="E19" s="158"/>
      <c r="F19" s="159"/>
    </row>
    <row r="20" spans="1:6" ht="18" thickBot="1" x14ac:dyDescent="0.3">
      <c r="A20" s="13"/>
      <c r="B20" s="168" t="s">
        <v>0</v>
      </c>
      <c r="C20" s="169"/>
      <c r="D20" s="15" t="s">
        <v>7</v>
      </c>
      <c r="E20" s="168" t="s">
        <v>12</v>
      </c>
      <c r="F20" s="169"/>
    </row>
    <row r="21" spans="1:6" ht="17.25" x14ac:dyDescent="0.3">
      <c r="A21" s="16" t="s">
        <v>14</v>
      </c>
      <c r="B21" s="160">
        <f>A18*(0.1*(10/3)*2)</f>
        <v>0</v>
      </c>
      <c r="C21" s="161"/>
      <c r="D21" s="17">
        <f>B18*(0.1*(10/3)*2)</f>
        <v>238334.95160460001</v>
      </c>
      <c r="E21" s="162">
        <f>SUM(B21:D21)</f>
        <v>238334.95160460001</v>
      </c>
      <c r="F21" s="163"/>
    </row>
    <row r="22" spans="1:6" ht="18" thickBot="1" x14ac:dyDescent="0.35">
      <c r="A22" s="10" t="s">
        <v>15</v>
      </c>
      <c r="B22" s="164">
        <f>A18*(0.1*(10/3))</f>
        <v>0</v>
      </c>
      <c r="C22" s="165"/>
      <c r="D22" s="18">
        <f>B18*(0.1*(10/3))</f>
        <v>119167.4758023</v>
      </c>
      <c r="E22" s="166">
        <f>SUM(B22:D22)</f>
        <v>119167.4758023</v>
      </c>
      <c r="F22" s="167"/>
    </row>
    <row r="23" spans="1:6" ht="30" customHeight="1" thickBot="1" x14ac:dyDescent="0.3">
      <c r="D23" s="4" t="s">
        <v>16</v>
      </c>
      <c r="E23" s="155">
        <f>SUM(E21:F22)</f>
        <v>357502.42740689998</v>
      </c>
      <c r="F23" s="156"/>
    </row>
    <row r="24" spans="1:6" ht="15.75" customHeight="1" x14ac:dyDescent="0.25"/>
    <row r="25" spans="1:6" ht="15.75" thickBot="1" x14ac:dyDescent="0.3"/>
    <row r="26" spans="1:6" ht="30" customHeight="1" thickBot="1" x14ac:dyDescent="0.3">
      <c r="A26" s="5" t="s">
        <v>22</v>
      </c>
      <c r="B26" s="19"/>
      <c r="C26" s="6"/>
      <c r="D26" s="7" t="s">
        <v>21</v>
      </c>
      <c r="E26" s="155">
        <f>E23</f>
        <v>357502.42740689998</v>
      </c>
      <c r="F26" s="156"/>
    </row>
    <row r="27" spans="1:6" ht="15.75" thickBot="1" x14ac:dyDescent="0.3"/>
    <row r="28" spans="1:6" ht="30" customHeight="1" thickBot="1" x14ac:dyDescent="0.3">
      <c r="A28" s="20" t="s">
        <v>23</v>
      </c>
      <c r="B28" s="21"/>
      <c r="C28" s="22"/>
      <c r="D28" s="23" t="s">
        <v>21</v>
      </c>
      <c r="E28" s="155">
        <f>SUM(E26:F26)</f>
        <v>357502.42740689998</v>
      </c>
      <c r="F28" s="156"/>
    </row>
  </sheetData>
  <mergeCells count="42"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8:D18"/>
    <mergeCell ref="E18:F18"/>
    <mergeCell ref="B13:C13"/>
    <mergeCell ref="E13:F13"/>
    <mergeCell ref="B14:C14"/>
    <mergeCell ref="E14:F14"/>
    <mergeCell ref="B15:C15"/>
    <mergeCell ref="E15:F15"/>
    <mergeCell ref="A2:F2"/>
    <mergeCell ref="A3:D3"/>
    <mergeCell ref="E3:F3"/>
    <mergeCell ref="E26:F26"/>
    <mergeCell ref="E28:F28"/>
    <mergeCell ref="A19:F19"/>
    <mergeCell ref="B21:C21"/>
    <mergeCell ref="E21:F21"/>
    <mergeCell ref="B22:C22"/>
    <mergeCell ref="E22:F22"/>
    <mergeCell ref="E23:F23"/>
    <mergeCell ref="B20:C20"/>
    <mergeCell ref="E20:F20"/>
    <mergeCell ref="A16:F16"/>
    <mergeCell ref="B17:D17"/>
    <mergeCell ref="E17:F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92C67-6E2C-4B11-AAD3-03AFF510F0DB}">
  <dimension ref="A1:K24"/>
  <sheetViews>
    <sheetView workbookViewId="0">
      <selection activeCell="E25" sqref="E25"/>
    </sheetView>
  </sheetViews>
  <sheetFormatPr defaultRowHeight="15" x14ac:dyDescent="0.25"/>
  <cols>
    <col min="1" max="1" width="26.5703125" customWidth="1"/>
    <col min="2" max="2" width="30.28515625" customWidth="1"/>
    <col min="3" max="3" width="21.85546875" customWidth="1"/>
    <col min="4" max="4" width="19" customWidth="1"/>
    <col min="5" max="5" width="16.85546875" customWidth="1"/>
    <col min="6" max="6" width="26" customWidth="1"/>
    <col min="8" max="8" width="12.5703125" bestFit="1" customWidth="1"/>
    <col min="10" max="10" width="12.5703125" bestFit="1" customWidth="1"/>
    <col min="11" max="11" width="9.5703125" bestFit="1" customWidth="1"/>
  </cols>
  <sheetData>
    <row r="1" spans="1:8" ht="29.25" x14ac:dyDescent="0.25">
      <c r="A1" s="24" t="s">
        <v>7</v>
      </c>
      <c r="B1" s="2"/>
      <c r="C1" s="2"/>
      <c r="D1" s="2"/>
      <c r="E1" s="2"/>
      <c r="F1" s="2"/>
    </row>
    <row r="2" spans="1:8" ht="15.75" thickBot="1" x14ac:dyDescent="0.3">
      <c r="A2" s="2"/>
      <c r="B2" s="2"/>
      <c r="C2" s="2"/>
      <c r="D2" s="2"/>
      <c r="E2" s="2"/>
      <c r="F2" s="2"/>
    </row>
    <row r="3" spans="1:8" ht="19.5" thickBot="1" x14ac:dyDescent="0.35">
      <c r="A3" s="30" t="s">
        <v>33</v>
      </c>
      <c r="B3" s="31"/>
      <c r="C3" s="25"/>
      <c r="D3" s="25"/>
      <c r="E3" s="25"/>
      <c r="F3" s="25"/>
    </row>
    <row r="4" spans="1:8" ht="18" thickBot="1" x14ac:dyDescent="0.35">
      <c r="A4" s="32" t="s">
        <v>34</v>
      </c>
      <c r="B4" s="33"/>
      <c r="C4" s="36"/>
      <c r="D4" s="33"/>
      <c r="E4" s="213" t="s">
        <v>46</v>
      </c>
      <c r="F4" s="214"/>
    </row>
    <row r="5" spans="1:8" ht="18" thickBot="1" x14ac:dyDescent="0.35">
      <c r="A5" s="34" t="s">
        <v>53</v>
      </c>
      <c r="B5" s="35"/>
      <c r="C5" s="37"/>
      <c r="D5" s="37"/>
      <c r="E5" s="207">
        <f>'Client Fees'!E15</f>
        <v>6732000</v>
      </c>
      <c r="F5" s="208"/>
    </row>
    <row r="6" spans="1:8" ht="18.75" thickBot="1" x14ac:dyDescent="0.3">
      <c r="A6" s="215" t="s">
        <v>35</v>
      </c>
      <c r="B6" s="216"/>
      <c r="C6" s="196" t="s">
        <v>48</v>
      </c>
      <c r="D6" s="197"/>
      <c r="E6" s="217">
        <f>SUM(E5:F5)</f>
        <v>6732000</v>
      </c>
      <c r="F6" s="218"/>
    </row>
    <row r="7" spans="1:8" ht="15.75" thickBot="1" x14ac:dyDescent="0.3">
      <c r="C7" s="219"/>
      <c r="D7" s="219"/>
      <c r="E7" s="219"/>
      <c r="F7" s="219"/>
    </row>
    <row r="8" spans="1:8" ht="19.5" thickBot="1" x14ac:dyDescent="0.35">
      <c r="A8" s="38" t="s">
        <v>36</v>
      </c>
      <c r="B8" s="39"/>
      <c r="C8" s="40"/>
      <c r="D8" s="40"/>
      <c r="E8" s="215" t="s">
        <v>44</v>
      </c>
      <c r="F8" s="216"/>
    </row>
    <row r="9" spans="1:8" ht="17.25" x14ac:dyDescent="0.25">
      <c r="A9" s="41" t="s">
        <v>37</v>
      </c>
      <c r="B9" s="42"/>
      <c r="C9" s="43"/>
      <c r="D9" s="43"/>
      <c r="E9" s="220">
        <f>IF(E8="Medium",IF(E6&gt;Data!$C$39,IF(E6&gt;Data!$C$40,IF(E6&gt;Data!$C$41,IF(E6&gt;Data!$C$42,IF(E6&gt;Data!$C$43,IF(E6&gt;Data!$C$44,IF(E6&gt;Data!$C$45,IF(E6&gt;Data!$C$46,IF(E6&gt;Data!$C$47,IF(E6&gt;Data!$C$48,IF(E6&gt;Data!$C$49,Data!$D$50,Data!$D$49),Data!$D$48),Data!$D$47),Data!$D$46),Data!$D$45),Data!$D$44),Data!$D$43),Data!$D$42),Data!$D$41),Data!$D$40),Data!$D$39),IF(E8="High",(IF(E6&gt;Data!$C$20,IF(E6&gt;Data!$C$21,IF(E6&gt;Data!$C$22,IF(E6&gt;Data!$C$23,IF(E6&gt;Data!$C$24,IF(E6&gt;Data!$C$25,IF(E6&gt;Data!$C$26,IF(E6&gt;Data!$C$27,IF(E6&gt;Data!$C$28,IF(E6&gt;Data!$C$29,IF(E6&gt;Data!$C$30,Data!$D$31,Data!$D$30),Data!$D$28),Data!E36),Data!$D$26),Data!$D$25),Data!$D$24),Data!$D$43),Data!$D$23),Data!$D$22),Data!$D$21),Data!$D$20)),IF(E8="Low",(IF(E6&gt;Data!$C$58,IF(E6&gt;Data!$C$59,IF(E6&gt;Data!$C$60,IF(E6&gt;Data!$C$61,IF(E6&gt;Data!$C$62,IF(E6&gt;Data!$C$63,IF(E6&gt;Data!$C$64,IF(E6&gt;Data!$C$65,IF(E6&gt;Data!$C$66,IF(E6&gt;Data!$C$67,IF(E6&gt;Data!$C$68,Data!$D$69,Data!$D$68),Data!$D$67),Data!$D$66),Data!$D$65),Data!$D$64),Data!$D$63),Data!$D$62),Data!$D$61),Data!$D$60),Data!$D$59),Data!$D$58)))))</f>
        <v>694755.35</v>
      </c>
      <c r="F9" s="221"/>
    </row>
    <row r="10" spans="1:8" ht="18" thickBot="1" x14ac:dyDescent="0.3">
      <c r="A10" s="44" t="s">
        <v>38</v>
      </c>
      <c r="B10" s="45"/>
      <c r="C10" s="46"/>
      <c r="D10" s="46"/>
      <c r="E10" s="222">
        <f>IF(E8="Medium",(E6-(VLOOKUP(E9,Data!$D$39:$F$50,3,FALSE)))*(VLOOKUP(E9,Data!$D$39:$F$50,2,FALSE)),IF(E8="High",(E6-(VLOOKUP(E9,Data!$D$20:$F$31,3,FALSE)))*(VLOOKUP(E9,Data!$D$20:$F$31,2,FALSE)),IF(E8="Low",(E6-(VLOOKUP(E9,Data!$D$58:$F$69,3,FALSE)))*(VLOOKUP(E9,Data!$D$58:$F$69,2,FALSE)))))</f>
        <v>19163.117400000003</v>
      </c>
      <c r="F10" s="223"/>
    </row>
    <row r="11" spans="1:8" ht="18.75" thickBot="1" x14ac:dyDescent="0.3">
      <c r="A11" s="47" t="s">
        <v>39</v>
      </c>
      <c r="B11" s="224"/>
      <c r="C11" s="224"/>
      <c r="D11" s="225"/>
      <c r="E11" s="226">
        <f>SUM(D9:F10)</f>
        <v>713918.46739999996</v>
      </c>
      <c r="F11" s="227"/>
    </row>
    <row r="12" spans="1:8" ht="19.5" thickBot="1" x14ac:dyDescent="0.35">
      <c r="A12" s="209" t="s">
        <v>40</v>
      </c>
      <c r="B12" s="210"/>
      <c r="C12" s="211" t="s">
        <v>45</v>
      </c>
      <c r="D12" s="212"/>
      <c r="E12" s="211" t="s">
        <v>47</v>
      </c>
      <c r="F12" s="212"/>
    </row>
    <row r="13" spans="1:8" ht="17.25" x14ac:dyDescent="0.3">
      <c r="A13" s="48" t="s">
        <v>26</v>
      </c>
      <c r="B13" s="49" t="s">
        <v>42</v>
      </c>
      <c r="C13" s="203">
        <v>0.4</v>
      </c>
      <c r="D13" s="203"/>
      <c r="E13" s="204">
        <f>E11*C13</f>
        <v>285567.38695999997</v>
      </c>
      <c r="F13" s="205"/>
    </row>
    <row r="14" spans="1:8" ht="18" thickBot="1" x14ac:dyDescent="0.35">
      <c r="A14" s="50" t="s">
        <v>41</v>
      </c>
      <c r="B14" s="51" t="s">
        <v>43</v>
      </c>
      <c r="C14" s="206">
        <v>0.2</v>
      </c>
      <c r="D14" s="206"/>
      <c r="E14" s="207">
        <f>E11*C14</f>
        <v>142783.69347999999</v>
      </c>
      <c r="F14" s="208"/>
    </row>
    <row r="15" spans="1:8" ht="18.75" thickBot="1" x14ac:dyDescent="0.3">
      <c r="A15" s="2"/>
      <c r="B15" s="2"/>
      <c r="C15" s="196" t="s">
        <v>48</v>
      </c>
      <c r="D15" s="197"/>
      <c r="E15" s="198">
        <f>SUM(E13:F14)</f>
        <v>428351.08043999993</v>
      </c>
      <c r="F15" s="199"/>
    </row>
    <row r="16" spans="1:8" ht="15.75" thickBot="1" x14ac:dyDescent="0.3">
      <c r="H16" s="130"/>
    </row>
    <row r="17" spans="1:11" ht="18.75" thickBot="1" x14ac:dyDescent="0.3">
      <c r="C17" s="196" t="s">
        <v>84</v>
      </c>
      <c r="D17" s="197"/>
      <c r="E17" s="198">
        <f>E15*H17</f>
        <v>149922.87815399998</v>
      </c>
      <c r="F17" s="199"/>
      <c r="H17" s="132">
        <v>0.35</v>
      </c>
      <c r="J17" s="130"/>
      <c r="K17" s="132"/>
    </row>
    <row r="18" spans="1:11" x14ac:dyDescent="0.25">
      <c r="H18" s="130"/>
    </row>
    <row r="19" spans="1:11" ht="29.25" x14ac:dyDescent="0.25">
      <c r="A19" s="24" t="s">
        <v>49</v>
      </c>
    </row>
    <row r="20" spans="1:11" ht="15.75" thickBot="1" x14ac:dyDescent="0.3">
      <c r="H20" s="130">
        <f>E15-E17</f>
        <v>278428.20228599996</v>
      </c>
    </row>
    <row r="21" spans="1:11" ht="18.75" thickBot="1" x14ac:dyDescent="0.3">
      <c r="A21" s="52" t="s">
        <v>52</v>
      </c>
      <c r="B21" s="53"/>
      <c r="C21" s="53"/>
      <c r="D21" s="83" t="s">
        <v>55</v>
      </c>
      <c r="E21" s="200">
        <f>E17</f>
        <v>149922.87815399998</v>
      </c>
      <c r="F21" s="201"/>
    </row>
    <row r="22" spans="1:11" ht="18.75" thickBot="1" x14ac:dyDescent="0.3">
      <c r="A22" s="52" t="s">
        <v>50</v>
      </c>
      <c r="B22" s="53"/>
      <c r="C22" s="53"/>
      <c r="D22" s="82">
        <v>0.35</v>
      </c>
      <c r="E22" s="202">
        <f>E21*0.35</f>
        <v>52473.007353899986</v>
      </c>
      <c r="F22" s="201"/>
    </row>
    <row r="23" spans="1:11" ht="15.75" thickBot="1" x14ac:dyDescent="0.3"/>
    <row r="24" spans="1:11" ht="18.75" thickBot="1" x14ac:dyDescent="0.3">
      <c r="A24" s="54" t="s">
        <v>51</v>
      </c>
      <c r="B24" s="55"/>
      <c r="C24" s="55"/>
      <c r="D24" s="81" t="s">
        <v>55</v>
      </c>
      <c r="E24" s="198">
        <v>357502.42740689998</v>
      </c>
      <c r="F24" s="199"/>
    </row>
  </sheetData>
  <mergeCells count="25">
    <mergeCell ref="A12:B12"/>
    <mergeCell ref="C12:D12"/>
    <mergeCell ref="E12:F12"/>
    <mergeCell ref="E4:F4"/>
    <mergeCell ref="E5:F5"/>
    <mergeCell ref="A6:B6"/>
    <mergeCell ref="C6:D6"/>
    <mergeCell ref="E6:F6"/>
    <mergeCell ref="C7:F7"/>
    <mergeCell ref="E8:F8"/>
    <mergeCell ref="E9:F9"/>
    <mergeCell ref="E10:F10"/>
    <mergeCell ref="B11:D11"/>
    <mergeCell ref="E11:F11"/>
    <mergeCell ref="C13:D13"/>
    <mergeCell ref="E13:F13"/>
    <mergeCell ref="C14:D14"/>
    <mergeCell ref="E14:F14"/>
    <mergeCell ref="C15:D15"/>
    <mergeCell ref="E15:F15"/>
    <mergeCell ref="C17:D17"/>
    <mergeCell ref="E17:F17"/>
    <mergeCell ref="E21:F21"/>
    <mergeCell ref="E22:F22"/>
    <mergeCell ref="E24:F24"/>
  </mergeCells>
  <dataValidations disablePrompts="1" count="1">
    <dataValidation type="list" allowBlank="1" showInputMessage="1" showErrorMessage="1" sqref="E8:F8" xr:uid="{F1615EA5-8ACE-4272-B9C9-36EB5AAA0564}">
      <formula1>"Low, Medium, High"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2A142-C35C-48BA-930B-FF214A5E0F9A}">
  <dimension ref="A1:M37"/>
  <sheetViews>
    <sheetView tabSelected="1" topLeftCell="A8" workbookViewId="0">
      <selection activeCell="D32" sqref="D32"/>
    </sheetView>
  </sheetViews>
  <sheetFormatPr defaultRowHeight="15" x14ac:dyDescent="0.25"/>
  <cols>
    <col min="1" max="1" width="48.7109375" bestFit="1" customWidth="1"/>
    <col min="2" max="2" width="23" bestFit="1" customWidth="1"/>
    <col min="3" max="3" width="28.5703125" bestFit="1" customWidth="1"/>
    <col min="4" max="4" width="17.85546875" customWidth="1"/>
    <col min="6" max="6" width="3.42578125" customWidth="1"/>
    <col min="7" max="7" width="12.5703125" bestFit="1" customWidth="1"/>
    <col min="8" max="8" width="14.140625" bestFit="1" customWidth="1"/>
    <col min="9" max="9" width="31.5703125" bestFit="1" customWidth="1"/>
    <col min="11" max="11" width="14.7109375" bestFit="1" customWidth="1"/>
    <col min="13" max="13" width="13.85546875" customWidth="1"/>
  </cols>
  <sheetData>
    <row r="1" spans="1:13" ht="15.75" thickBot="1" x14ac:dyDescent="0.3"/>
    <row r="2" spans="1:13" ht="19.5" x14ac:dyDescent="0.25">
      <c r="A2" s="135" t="s">
        <v>79</v>
      </c>
      <c r="B2" s="136"/>
      <c r="C2" s="137"/>
      <c r="D2" s="250">
        <f>866800</f>
        <v>866800</v>
      </c>
      <c r="E2" s="251"/>
      <c r="I2" s="135" t="s">
        <v>79</v>
      </c>
      <c r="J2" s="136"/>
      <c r="K2" s="137"/>
      <c r="L2" s="250">
        <f>866800</f>
        <v>866800</v>
      </c>
      <c r="M2" s="251"/>
    </row>
    <row r="3" spans="1:13" ht="19.5" x14ac:dyDescent="0.25">
      <c r="A3" s="138" t="s">
        <v>80</v>
      </c>
      <c r="B3" s="133"/>
      <c r="C3" s="134"/>
      <c r="D3" s="252">
        <f>132000</f>
        <v>132000</v>
      </c>
      <c r="E3" s="253"/>
      <c r="I3" s="138" t="s">
        <v>80</v>
      </c>
      <c r="J3" s="133"/>
      <c r="K3" s="134"/>
      <c r="L3" s="252"/>
      <c r="M3" s="253"/>
    </row>
    <row r="4" spans="1:13" ht="20.25" thickBot="1" x14ac:dyDescent="0.3">
      <c r="A4" s="139" t="s">
        <v>83</v>
      </c>
      <c r="B4" s="140"/>
      <c r="C4" s="141"/>
      <c r="D4" s="246">
        <v>149922.88</v>
      </c>
      <c r="E4" s="247"/>
      <c r="I4" s="139" t="s">
        <v>83</v>
      </c>
      <c r="J4" s="140"/>
      <c r="K4" s="141"/>
      <c r="L4" s="246"/>
      <c r="M4" s="247"/>
    </row>
    <row r="5" spans="1:13" ht="20.25" thickBot="1" x14ac:dyDescent="0.3">
      <c r="A5" s="20" t="s">
        <v>78</v>
      </c>
      <c r="B5" s="21"/>
      <c r="C5" s="23" t="s">
        <v>54</v>
      </c>
      <c r="D5" s="248">
        <f>SUM(D2:E4)</f>
        <v>1148722.8799999999</v>
      </c>
      <c r="E5" s="249"/>
      <c r="I5" s="20" t="s">
        <v>78</v>
      </c>
      <c r="J5" s="21"/>
      <c r="K5" s="23" t="s">
        <v>54</v>
      </c>
      <c r="L5" s="248">
        <f>SUM(L2:M4)</f>
        <v>866800</v>
      </c>
      <c r="M5" s="249"/>
    </row>
    <row r="6" spans="1:13" ht="15.75" thickBot="1" x14ac:dyDescent="0.3"/>
    <row r="7" spans="1:13" ht="19.5" x14ac:dyDescent="0.25">
      <c r="A7" s="135" t="s">
        <v>81</v>
      </c>
      <c r="B7" s="136"/>
      <c r="C7" s="145">
        <v>0.66</v>
      </c>
      <c r="D7" s="250">
        <f>D5*C7</f>
        <v>758157.10080000001</v>
      </c>
      <c r="E7" s="251"/>
      <c r="I7" s="135" t="s">
        <v>81</v>
      </c>
      <c r="J7" s="136"/>
      <c r="K7" s="145">
        <v>0.66</v>
      </c>
      <c r="L7" s="250">
        <f>L5*K7</f>
        <v>572088</v>
      </c>
      <c r="M7" s="251"/>
    </row>
    <row r="8" spans="1:13" ht="20.25" thickBot="1" x14ac:dyDescent="0.3">
      <c r="A8" s="139" t="s">
        <v>82</v>
      </c>
      <c r="B8" s="140"/>
      <c r="C8" s="146">
        <v>0.34</v>
      </c>
      <c r="D8" s="246">
        <f>D5*C8</f>
        <v>390565.77919999999</v>
      </c>
      <c r="E8" s="247"/>
      <c r="I8" s="139" t="s">
        <v>82</v>
      </c>
      <c r="J8" s="140"/>
      <c r="K8" s="146">
        <v>0.34</v>
      </c>
      <c r="L8" s="246">
        <f>L5*K8</f>
        <v>294712</v>
      </c>
      <c r="M8" s="247"/>
    </row>
    <row r="9" spans="1:13" ht="15.75" thickBot="1" x14ac:dyDescent="0.3"/>
    <row r="10" spans="1:13" ht="20.25" thickBot="1" x14ac:dyDescent="0.3">
      <c r="A10" s="69" t="s">
        <v>24</v>
      </c>
      <c r="B10" s="61"/>
      <c r="C10" s="62" t="s">
        <v>25</v>
      </c>
      <c r="D10" s="228" t="s">
        <v>12</v>
      </c>
      <c r="E10" s="229"/>
      <c r="I10" s="69" t="s">
        <v>24</v>
      </c>
      <c r="J10" s="61"/>
      <c r="K10" s="62" t="s">
        <v>25</v>
      </c>
      <c r="L10" s="228" t="s">
        <v>12</v>
      </c>
      <c r="M10" s="229"/>
    </row>
    <row r="11" spans="1:13" ht="17.25" x14ac:dyDescent="0.25">
      <c r="A11" s="75" t="s">
        <v>26</v>
      </c>
      <c r="B11" s="63"/>
      <c r="C11" s="79">
        <v>0.8</v>
      </c>
      <c r="D11" s="234">
        <f>D7*C11</f>
        <v>606525.68064000004</v>
      </c>
      <c r="E11" s="235"/>
      <c r="I11" s="75" t="s">
        <v>26</v>
      </c>
      <c r="J11" s="63"/>
      <c r="K11" s="79">
        <v>0.8</v>
      </c>
      <c r="L11" s="234">
        <f>L7*K11</f>
        <v>457670.40000000002</v>
      </c>
      <c r="M11" s="235"/>
    </row>
    <row r="12" spans="1:13" ht="18" thickBot="1" x14ac:dyDescent="0.3">
      <c r="A12" s="76" t="s">
        <v>27</v>
      </c>
      <c r="B12" s="64"/>
      <c r="C12" s="80">
        <v>0.5</v>
      </c>
      <c r="D12" s="236">
        <f>D8*C12</f>
        <v>195282.88959999999</v>
      </c>
      <c r="E12" s="237"/>
      <c r="I12" s="76" t="s">
        <v>27</v>
      </c>
      <c r="J12" s="64"/>
      <c r="K12" s="80">
        <v>0.5</v>
      </c>
      <c r="L12" s="236">
        <f>L8*K12</f>
        <v>147356</v>
      </c>
      <c r="M12" s="237"/>
    </row>
    <row r="13" spans="1:13" ht="20.25" thickBot="1" x14ac:dyDescent="0.3">
      <c r="A13" s="60" t="s">
        <v>28</v>
      </c>
      <c r="B13" s="65" t="s">
        <v>29</v>
      </c>
      <c r="C13" s="143">
        <f>C21</f>
        <v>0.69800000000000006</v>
      </c>
      <c r="D13" s="230">
        <f>SUM(D11:E12)</f>
        <v>801808.57024000003</v>
      </c>
      <c r="E13" s="231"/>
      <c r="I13" s="60" t="s">
        <v>28</v>
      </c>
      <c r="J13" s="65" t="s">
        <v>29</v>
      </c>
      <c r="K13" s="143">
        <f>K21</f>
        <v>0.69800000000000006</v>
      </c>
      <c r="L13" s="230">
        <f>SUM(L11:M12)</f>
        <v>605026.4</v>
      </c>
      <c r="M13" s="231"/>
    </row>
    <row r="14" spans="1:13" ht="15.75" thickBot="1" x14ac:dyDescent="0.3">
      <c r="A14" s="2"/>
      <c r="B14" s="2"/>
      <c r="C14" s="2"/>
      <c r="D14" s="2"/>
      <c r="I14" s="2"/>
      <c r="J14" s="2"/>
      <c r="K14" s="2"/>
      <c r="L14" s="2"/>
    </row>
    <row r="15" spans="1:13" ht="20.25" thickBot="1" x14ac:dyDescent="0.3">
      <c r="A15" s="26" t="s">
        <v>30</v>
      </c>
      <c r="B15" s="70"/>
      <c r="C15" s="71" t="s">
        <v>25</v>
      </c>
      <c r="D15" s="238" t="s">
        <v>12</v>
      </c>
      <c r="E15" s="239"/>
      <c r="I15" s="26" t="s">
        <v>30</v>
      </c>
      <c r="J15" s="70"/>
      <c r="K15" s="71" t="s">
        <v>25</v>
      </c>
      <c r="L15" s="238" t="s">
        <v>12</v>
      </c>
      <c r="M15" s="239"/>
    </row>
    <row r="16" spans="1:13" ht="17.25" x14ac:dyDescent="0.25">
      <c r="A16" s="28" t="s">
        <v>31</v>
      </c>
      <c r="B16" s="72"/>
      <c r="C16" s="77">
        <v>0.2</v>
      </c>
      <c r="D16" s="240">
        <f>D7*C16</f>
        <v>151631.42016000001</v>
      </c>
      <c r="E16" s="241"/>
      <c r="I16" s="28" t="s">
        <v>31</v>
      </c>
      <c r="J16" s="72"/>
      <c r="K16" s="77">
        <v>0.2</v>
      </c>
      <c r="L16" s="240">
        <f>L7*K16</f>
        <v>114417.60000000001</v>
      </c>
      <c r="M16" s="241"/>
    </row>
    <row r="17" spans="1:13" ht="18" thickBot="1" x14ac:dyDescent="0.3">
      <c r="A17" s="29" t="s">
        <v>32</v>
      </c>
      <c r="B17" s="27"/>
      <c r="C17" s="78">
        <v>0.5</v>
      </c>
      <c r="D17" s="242">
        <f>D8*C17</f>
        <v>195282.88959999999</v>
      </c>
      <c r="E17" s="243"/>
      <c r="I17" s="29" t="s">
        <v>32</v>
      </c>
      <c r="J17" s="27"/>
      <c r="K17" s="78">
        <v>0.5</v>
      </c>
      <c r="L17" s="242">
        <f>L8*K17</f>
        <v>147356</v>
      </c>
      <c r="M17" s="243"/>
    </row>
    <row r="18" spans="1:13" ht="20.25" thickBot="1" x14ac:dyDescent="0.3">
      <c r="A18" s="73" t="s">
        <v>28</v>
      </c>
      <c r="B18" s="74" t="s">
        <v>29</v>
      </c>
      <c r="C18" s="144">
        <f>C22</f>
        <v>0.30199999999999999</v>
      </c>
      <c r="D18" s="244">
        <f>SUM(D16:E17)</f>
        <v>346914.30975999997</v>
      </c>
      <c r="E18" s="245"/>
      <c r="G18" s="130"/>
      <c r="I18" s="73" t="s">
        <v>28</v>
      </c>
      <c r="J18" s="74" t="s">
        <v>29</v>
      </c>
      <c r="K18" s="144">
        <f>K22</f>
        <v>0.30199999999999999</v>
      </c>
      <c r="L18" s="244">
        <f>SUM(L16:M17)</f>
        <v>261773.6</v>
      </c>
      <c r="M18" s="245"/>
    </row>
    <row r="19" spans="1:13" x14ac:dyDescent="0.25">
      <c r="G19" s="130"/>
    </row>
    <row r="20" spans="1:13" ht="15.75" thickBot="1" x14ac:dyDescent="0.3"/>
    <row r="21" spans="1:13" ht="20.25" thickBot="1" x14ac:dyDescent="0.3">
      <c r="A21" s="60" t="s">
        <v>24</v>
      </c>
      <c r="B21" s="68"/>
      <c r="C21" s="143">
        <f>D21/D24</f>
        <v>0.69800000000000006</v>
      </c>
      <c r="D21" s="230">
        <f>D13</f>
        <v>801808.57024000003</v>
      </c>
      <c r="E21" s="231"/>
      <c r="I21" s="60" t="s">
        <v>24</v>
      </c>
      <c r="J21" s="68"/>
      <c r="K21" s="143">
        <f>L21/L24</f>
        <v>0.69800000000000006</v>
      </c>
      <c r="L21" s="230">
        <f>L13</f>
        <v>605026.4</v>
      </c>
      <c r="M21" s="231"/>
    </row>
    <row r="22" spans="1:13" ht="20.25" thickBot="1" x14ac:dyDescent="0.3">
      <c r="A22" s="66" t="s">
        <v>30</v>
      </c>
      <c r="B22" s="67"/>
      <c r="C22" s="142">
        <f>D22/D24</f>
        <v>0.30199999999999999</v>
      </c>
      <c r="D22" s="232">
        <f>D18</f>
        <v>346914.30975999997</v>
      </c>
      <c r="E22" s="233"/>
      <c r="G22" t="s">
        <v>85</v>
      </c>
      <c r="I22" s="66" t="s">
        <v>30</v>
      </c>
      <c r="J22" s="67"/>
      <c r="K22" s="142">
        <f>L22/L24</f>
        <v>0.30199999999999999</v>
      </c>
      <c r="L22" s="232">
        <f>L18</f>
        <v>261773.6</v>
      </c>
      <c r="M22" s="233"/>
    </row>
    <row r="23" spans="1:13" ht="15.75" thickBot="1" x14ac:dyDescent="0.3"/>
    <row r="24" spans="1:13" ht="20.25" thickBot="1" x14ac:dyDescent="0.3">
      <c r="A24" s="20" t="s">
        <v>23</v>
      </c>
      <c r="B24" s="21"/>
      <c r="C24" s="23" t="s">
        <v>54</v>
      </c>
      <c r="D24" s="198">
        <f>SUM(D21:E22)</f>
        <v>1148722.8799999999</v>
      </c>
      <c r="E24" s="199"/>
      <c r="I24" s="20" t="s">
        <v>23</v>
      </c>
      <c r="J24" s="21"/>
      <c r="K24" s="23" t="s">
        <v>54</v>
      </c>
      <c r="L24" s="198">
        <f>SUM(L21:M22)</f>
        <v>866800</v>
      </c>
      <c r="M24" s="199"/>
    </row>
    <row r="27" spans="1:13" x14ac:dyDescent="0.25">
      <c r="I27" s="129">
        <v>261773.6</v>
      </c>
    </row>
    <row r="28" spans="1:13" x14ac:dyDescent="0.25">
      <c r="D28" s="130">
        <f>D11+D16+D17</f>
        <v>953439.99040000001</v>
      </c>
    </row>
    <row r="29" spans="1:13" x14ac:dyDescent="0.25">
      <c r="D29" s="130"/>
      <c r="I29">
        <v>340958</v>
      </c>
    </row>
    <row r="30" spans="1:13" x14ac:dyDescent="0.25">
      <c r="G30" s="130"/>
      <c r="H30" s="130"/>
      <c r="I30" s="130">
        <f>I29/5300</f>
        <v>64.331698113207551</v>
      </c>
    </row>
    <row r="31" spans="1:13" x14ac:dyDescent="0.25">
      <c r="I31" s="130">
        <f>I30/21</f>
        <v>3.0634141958670265</v>
      </c>
    </row>
    <row r="32" spans="1:13" x14ac:dyDescent="0.25">
      <c r="D32" s="130">
        <f>D28/3</f>
        <v>317813.33013333334</v>
      </c>
    </row>
    <row r="33" spans="2:9" x14ac:dyDescent="0.25">
      <c r="D33" s="130">
        <f>D18/3</f>
        <v>115638.10325333332</v>
      </c>
      <c r="G33" s="130"/>
      <c r="H33" s="130"/>
      <c r="I33" s="130"/>
    </row>
    <row r="36" spans="2:9" x14ac:dyDescent="0.25">
      <c r="B36">
        <f>132000*2</f>
        <v>264000</v>
      </c>
    </row>
    <row r="37" spans="2:9" x14ac:dyDescent="0.25">
      <c r="B37" s="130">
        <f>B36+D16</f>
        <v>415631.42015999998</v>
      </c>
    </row>
  </sheetData>
  <mergeCells count="34">
    <mergeCell ref="L22:M22"/>
    <mergeCell ref="L24:M24"/>
    <mergeCell ref="L15:M15"/>
    <mergeCell ref="L16:M16"/>
    <mergeCell ref="L17:M17"/>
    <mergeCell ref="L18:M18"/>
    <mergeCell ref="L21:M21"/>
    <mergeCell ref="L8:M8"/>
    <mergeCell ref="L10:M10"/>
    <mergeCell ref="L11:M11"/>
    <mergeCell ref="L12:M12"/>
    <mergeCell ref="L13:M13"/>
    <mergeCell ref="L2:M2"/>
    <mergeCell ref="L3:M3"/>
    <mergeCell ref="L4:M4"/>
    <mergeCell ref="L5:M5"/>
    <mergeCell ref="L7:M7"/>
    <mergeCell ref="D8:E8"/>
    <mergeCell ref="D5:E5"/>
    <mergeCell ref="D2:E2"/>
    <mergeCell ref="D3:E3"/>
    <mergeCell ref="D4:E4"/>
    <mergeCell ref="D7:E7"/>
    <mergeCell ref="D10:E10"/>
    <mergeCell ref="D24:E24"/>
    <mergeCell ref="D21:E21"/>
    <mergeCell ref="D22:E22"/>
    <mergeCell ref="D11:E11"/>
    <mergeCell ref="D12:E12"/>
    <mergeCell ref="D13:E13"/>
    <mergeCell ref="D15:E15"/>
    <mergeCell ref="D16:E16"/>
    <mergeCell ref="D17:E17"/>
    <mergeCell ref="D18:E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B8C80-E377-44FD-8FA5-A1AEAE094071}">
  <dimension ref="A1:J69"/>
  <sheetViews>
    <sheetView workbookViewId="0">
      <selection activeCell="D6" sqref="D6"/>
    </sheetView>
  </sheetViews>
  <sheetFormatPr defaultRowHeight="16.5" x14ac:dyDescent="0.3"/>
  <cols>
    <col min="1" max="1" width="43" style="114" customWidth="1"/>
    <col min="2" max="2" width="21.28515625" style="114" customWidth="1"/>
    <col min="3" max="3" width="20" style="114" customWidth="1"/>
    <col min="4" max="4" width="25.85546875" style="114" customWidth="1"/>
    <col min="5" max="5" width="14.28515625" style="114" customWidth="1"/>
    <col min="6" max="6" width="21.42578125" style="114" customWidth="1"/>
    <col min="7" max="7" width="12.140625" style="114" customWidth="1"/>
    <col min="8" max="8" width="24.140625" style="114" customWidth="1"/>
    <col min="9" max="9" width="44.85546875" style="114" customWidth="1"/>
    <col min="10" max="10" width="21.85546875" style="114" customWidth="1"/>
    <col min="11" max="16384" width="9.140625" style="114"/>
  </cols>
  <sheetData>
    <row r="1" spans="1:10" ht="17.25" thickBot="1" x14ac:dyDescent="0.35"/>
    <row r="2" spans="1:10" ht="18" thickBot="1" x14ac:dyDescent="0.35">
      <c r="A2" s="115" t="s">
        <v>35</v>
      </c>
      <c r="B2" s="116">
        <v>3240000</v>
      </c>
      <c r="C2" s="25"/>
      <c r="D2" s="25"/>
      <c r="E2" s="25"/>
      <c r="F2" s="25"/>
      <c r="G2" s="25"/>
      <c r="H2" s="25"/>
      <c r="I2" s="25"/>
      <c r="J2" s="25"/>
    </row>
    <row r="3" spans="1:10" ht="17.25" x14ac:dyDescent="0.3">
      <c r="A3" s="25" t="s">
        <v>36</v>
      </c>
      <c r="B3" s="117" t="s">
        <v>44</v>
      </c>
      <c r="C3" s="25"/>
      <c r="D3" s="25"/>
      <c r="E3" s="25"/>
      <c r="F3" s="25"/>
      <c r="G3" s="25"/>
      <c r="H3" s="25"/>
      <c r="I3" s="25"/>
      <c r="J3" s="25"/>
    </row>
    <row r="4" spans="1:10" ht="17.25" x14ac:dyDescent="0.3">
      <c r="A4" s="25"/>
      <c r="B4" s="25"/>
      <c r="C4" s="25"/>
      <c r="D4" s="25"/>
      <c r="E4" s="25"/>
      <c r="F4" s="25"/>
      <c r="G4" s="25"/>
      <c r="H4" s="25"/>
      <c r="I4" s="25"/>
      <c r="J4" s="25"/>
    </row>
    <row r="5" spans="1:10" ht="18" thickBot="1" x14ac:dyDescent="0.35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0" ht="18" thickBot="1" x14ac:dyDescent="0.35">
      <c r="A6" s="269" t="s">
        <v>69</v>
      </c>
      <c r="B6" s="270"/>
      <c r="C6" s="25"/>
      <c r="D6" s="25"/>
      <c r="E6" s="25"/>
      <c r="F6" s="25"/>
      <c r="G6" s="25"/>
      <c r="H6" s="25"/>
      <c r="I6" s="25"/>
      <c r="J6" s="25"/>
    </row>
    <row r="7" spans="1:10" ht="17.25" x14ac:dyDescent="0.3">
      <c r="A7" s="118" t="s">
        <v>37</v>
      </c>
      <c r="B7" s="119">
        <f>IF(B3="Medium",IF($B$2&gt;C39,IF($B$2&gt;C40,IF($B$2&gt;C41,IF($B$2&gt;C42,IF($B$2&gt;C43,IF($B$2&gt;C44,IF($B$2&gt;C45,IF($B$2&gt;C46,IF($B$2&gt;C47,IF($B$2&gt;C48,IF($B$2&gt;C49,D50,D49),D48),D47),D46),D45),D44),D43),D42),D41),D40),D39),IF(B3="High",IF($B$2&gt;C20,IF($B$2&gt;C21,IF($B$2&gt;C22,IF($B$2&gt;C23,IF($B$2&gt;C24,IF($B$2&gt;C25,IF($B$2&gt;C26,IF($B$2&gt;C27,IF($B$2&gt;C28,IF($B$2&gt;C29,IF($B$2&gt;C30,D31,D30),D29),D28),D27),D26),D25),D24),D23),D22),D21),D20),IF(B3="Low",IF($B$2&gt;C58,IF($B$2&gt;C59,IF($B$2&gt;C60,IF($B$2&gt;C61,IF($B$2&gt;C62,IF($B$2&gt;C63,IF($B$2&gt;C64,IF($B$2&gt;C65,IF($B$2&gt;C66,IF($B$2&gt;C67,IF($B$2&gt;C68,D69,D68),D67),D66),D65),D64),D63),D62),D61),D60),D59),D58))))</f>
        <v>261510.57</v>
      </c>
      <c r="C7" s="25"/>
      <c r="D7" s="25"/>
      <c r="E7" s="25"/>
      <c r="F7" s="25"/>
      <c r="G7" s="25"/>
      <c r="H7" s="25"/>
      <c r="I7" s="25"/>
      <c r="J7" s="25"/>
    </row>
    <row r="8" spans="1:10" ht="18" thickBot="1" x14ac:dyDescent="0.35">
      <c r="A8" s="84" t="s">
        <v>38</v>
      </c>
      <c r="B8" s="120">
        <f>IF($B$3="Medium",($B$2-(VLOOKUP(B7,D39:F50,3,FALSE)))*(VLOOKUP(B7,D39:F50,2,FALSE)),IF($B$3="High",($B$2-(VLOOKUP(B7,D20:F31,3,FALSE)))*(VLOOKUP(B7,D20:F31,2,FALSE)),IF($B$3="Low",($B$2-(VLOOKUP(B7,D58:F69,3,FALSE)))*(VLOOKUP(B7,D58:F69,2,FALSE)))))</f>
        <v>121147.90229999999</v>
      </c>
      <c r="C8" s="25"/>
      <c r="D8" s="25"/>
      <c r="E8" s="25"/>
      <c r="F8" s="25"/>
      <c r="G8" s="25"/>
      <c r="H8" s="25"/>
      <c r="I8" s="25"/>
      <c r="J8" s="25"/>
    </row>
    <row r="9" spans="1:10" ht="18" thickBot="1" x14ac:dyDescent="0.35">
      <c r="A9" s="85" t="s">
        <v>73</v>
      </c>
      <c r="B9" s="121">
        <f>B7+B8</f>
        <v>382658.47230000002</v>
      </c>
      <c r="C9" s="25"/>
      <c r="D9" s="25"/>
      <c r="E9" s="25"/>
      <c r="F9" s="25"/>
      <c r="G9" s="25"/>
      <c r="H9" s="25"/>
      <c r="I9" s="25"/>
      <c r="J9" s="25"/>
    </row>
    <row r="10" spans="1:10" ht="18" thickBot="1" x14ac:dyDescent="0.35">
      <c r="A10" s="85" t="s">
        <v>72</v>
      </c>
      <c r="B10" s="122">
        <v>0</v>
      </c>
      <c r="C10" s="25"/>
      <c r="D10" s="25"/>
      <c r="E10" s="25"/>
      <c r="F10" s="25"/>
      <c r="G10" s="25"/>
      <c r="H10" s="25"/>
      <c r="I10" s="25"/>
      <c r="J10" s="25"/>
    </row>
    <row r="11" spans="1:10" ht="18" thickBot="1" x14ac:dyDescent="0.35">
      <c r="A11" s="85" t="s">
        <v>12</v>
      </c>
      <c r="B11" s="123">
        <f>SUM(B9:B10)</f>
        <v>382658.47230000002</v>
      </c>
      <c r="C11" s="25"/>
      <c r="D11" s="25"/>
      <c r="E11" s="25"/>
      <c r="F11" s="25"/>
      <c r="G11" s="25"/>
      <c r="H11" s="25"/>
      <c r="I11" s="25"/>
      <c r="J11" s="25"/>
    </row>
    <row r="12" spans="1:10" ht="17.25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</row>
    <row r="13" spans="1:10" ht="17.25" x14ac:dyDescent="0.3">
      <c r="A13" s="25"/>
      <c r="B13" s="25"/>
      <c r="C13" s="25"/>
      <c r="D13" s="25"/>
      <c r="E13" s="25"/>
      <c r="F13" s="25"/>
      <c r="G13" s="25"/>
      <c r="H13" s="25"/>
      <c r="I13" s="25"/>
      <c r="J13" s="25"/>
    </row>
    <row r="14" spans="1:10" ht="17.25" x14ac:dyDescent="0.3">
      <c r="A14" s="25"/>
      <c r="B14" s="25"/>
      <c r="C14" s="25"/>
      <c r="D14" s="25"/>
      <c r="E14" s="25"/>
      <c r="F14" s="25"/>
      <c r="G14" s="25"/>
      <c r="H14" s="25"/>
      <c r="I14" s="25"/>
      <c r="J14" s="25"/>
    </row>
    <row r="15" spans="1:10" ht="17.25" x14ac:dyDescent="0.3">
      <c r="A15" s="271" t="s">
        <v>74</v>
      </c>
      <c r="B15" s="271"/>
      <c r="C15" s="271"/>
      <c r="D15" s="271"/>
      <c r="E15" s="271"/>
      <c r="F15" s="271"/>
      <c r="G15" s="25"/>
      <c r="H15" s="25"/>
      <c r="I15" s="25"/>
      <c r="J15" s="25"/>
    </row>
    <row r="16" spans="1:10" ht="17.25" x14ac:dyDescent="0.3">
      <c r="A16" s="258" t="s">
        <v>56</v>
      </c>
      <c r="B16" s="265" t="s">
        <v>57</v>
      </c>
      <c r="C16" s="266"/>
      <c r="D16" s="258" t="s">
        <v>37</v>
      </c>
      <c r="E16" s="265" t="s">
        <v>58</v>
      </c>
      <c r="F16" s="266"/>
      <c r="G16" s="25"/>
      <c r="H16" s="101" t="s">
        <v>59</v>
      </c>
      <c r="I16" s="102">
        <f>IF($B$2&gt;C20,IF($B$2&gt;C21,IF($B$2&gt;C22,IF($B$2&gt;C23,IF($B$2&gt;C24,IF($B$2&gt;C25,IF($B$2&gt;C26,IF($B$2&gt;C27,IF($B$2&gt;C28,IF($B$2&gt;C29,IF($B$2&gt;C30,D31,D30),D28),D27),D26),D25),D24),100),D23),D22),D21),D20)</f>
        <v>364263.1</v>
      </c>
      <c r="J16" s="103">
        <f>VLOOKUP(I16,D20:F31,2,FALSE)</f>
        <v>0.1361</v>
      </c>
    </row>
    <row r="17" spans="1:10" ht="17.25" x14ac:dyDescent="0.3">
      <c r="A17" s="258"/>
      <c r="B17" s="267"/>
      <c r="C17" s="268"/>
      <c r="D17" s="258"/>
      <c r="E17" s="267"/>
      <c r="F17" s="268"/>
      <c r="G17" s="25"/>
      <c r="H17" s="104"/>
      <c r="I17" s="25"/>
      <c r="J17" s="105">
        <f>VLOOKUP(I16,D20:F31,3,FALSE)</f>
        <v>2000001</v>
      </c>
    </row>
    <row r="18" spans="1:10" ht="17.25" x14ac:dyDescent="0.3">
      <c r="A18" s="258"/>
      <c r="B18" s="100" t="s">
        <v>60</v>
      </c>
      <c r="C18" s="100" t="s">
        <v>61</v>
      </c>
      <c r="D18" s="258"/>
      <c r="E18" s="100" t="s">
        <v>62</v>
      </c>
      <c r="F18" s="100" t="s">
        <v>63</v>
      </c>
      <c r="G18" s="25"/>
      <c r="H18" s="106"/>
      <c r="I18" s="107"/>
      <c r="J18" s="108">
        <f>($B$2-J17)*J16</f>
        <v>168763.8639</v>
      </c>
    </row>
    <row r="19" spans="1:10" ht="17.25" x14ac:dyDescent="0.3">
      <c r="A19" s="258"/>
      <c r="B19" s="100" t="s">
        <v>64</v>
      </c>
      <c r="C19" s="100" t="s">
        <v>65</v>
      </c>
      <c r="D19" s="100" t="s">
        <v>66</v>
      </c>
      <c r="E19" s="100" t="s">
        <v>67</v>
      </c>
      <c r="F19" s="100" t="s">
        <v>68</v>
      </c>
      <c r="G19" s="25"/>
      <c r="H19" s="25"/>
      <c r="I19" s="25"/>
      <c r="J19" s="25"/>
    </row>
    <row r="20" spans="1:10" ht="17.25" x14ac:dyDescent="0.3">
      <c r="A20" s="86">
        <v>1</v>
      </c>
      <c r="B20" s="87">
        <v>1</v>
      </c>
      <c r="C20" s="87">
        <v>200000</v>
      </c>
      <c r="D20" s="87">
        <v>14249.82</v>
      </c>
      <c r="E20" s="88">
        <v>0.22020000000000001</v>
      </c>
      <c r="F20" s="87">
        <v>1</v>
      </c>
      <c r="G20" s="25"/>
      <c r="H20" s="25"/>
      <c r="I20" s="25"/>
      <c r="J20" s="25"/>
    </row>
    <row r="21" spans="1:10" ht="17.25" x14ac:dyDescent="0.3">
      <c r="A21" s="86">
        <v>2</v>
      </c>
      <c r="B21" s="87">
        <v>200001</v>
      </c>
      <c r="C21" s="87">
        <v>650000</v>
      </c>
      <c r="D21" s="87">
        <v>58288.24</v>
      </c>
      <c r="E21" s="88">
        <v>0.2117</v>
      </c>
      <c r="F21" s="87">
        <v>200001</v>
      </c>
      <c r="G21" s="25"/>
      <c r="H21" s="25"/>
      <c r="I21" s="25"/>
      <c r="J21" s="25"/>
    </row>
    <row r="22" spans="1:10" ht="17.25" x14ac:dyDescent="0.3">
      <c r="A22" s="86">
        <v>3</v>
      </c>
      <c r="B22" s="87">
        <v>650001</v>
      </c>
      <c r="C22" s="87">
        <v>2000000</v>
      </c>
      <c r="D22" s="87">
        <v>153523.63</v>
      </c>
      <c r="E22" s="88">
        <v>0.15609999999999999</v>
      </c>
      <c r="F22" s="87">
        <v>650001</v>
      </c>
      <c r="G22" s="25"/>
      <c r="H22" s="25"/>
      <c r="I22" s="109"/>
      <c r="J22" s="25"/>
    </row>
    <row r="23" spans="1:10" ht="17.25" x14ac:dyDescent="0.3">
      <c r="A23" s="86">
        <v>4</v>
      </c>
      <c r="B23" s="87">
        <v>2000001</v>
      </c>
      <c r="C23" s="87">
        <v>4000000</v>
      </c>
      <c r="D23" s="87">
        <v>364263.1</v>
      </c>
      <c r="E23" s="88">
        <v>0.1361</v>
      </c>
      <c r="F23" s="87">
        <v>2000001</v>
      </c>
      <c r="G23" s="25"/>
      <c r="H23" s="25"/>
      <c r="I23" s="25"/>
      <c r="J23" s="25"/>
    </row>
    <row r="24" spans="1:10" ht="17.25" x14ac:dyDescent="0.3">
      <c r="A24" s="86">
        <v>5</v>
      </c>
      <c r="B24" s="87">
        <v>4000001</v>
      </c>
      <c r="C24" s="87">
        <v>6500000</v>
      </c>
      <c r="D24" s="87">
        <v>636438.06999999995</v>
      </c>
      <c r="E24" s="88">
        <v>0.13250000000000001</v>
      </c>
      <c r="F24" s="87">
        <v>4000001</v>
      </c>
      <c r="G24" s="25"/>
      <c r="H24" s="25"/>
      <c r="I24" s="25"/>
      <c r="J24" s="25"/>
    </row>
    <row r="25" spans="1:10" ht="17.25" x14ac:dyDescent="0.3">
      <c r="A25" s="86">
        <v>6</v>
      </c>
      <c r="B25" s="87">
        <v>6500001</v>
      </c>
      <c r="C25" s="87">
        <v>13000000</v>
      </c>
      <c r="D25" s="87">
        <v>967738.13</v>
      </c>
      <c r="E25" s="88">
        <v>0.11509999999999999</v>
      </c>
      <c r="F25" s="87">
        <v>6500001</v>
      </c>
      <c r="G25" s="25"/>
      <c r="H25" s="25"/>
      <c r="I25" s="25"/>
      <c r="J25" s="110"/>
    </row>
    <row r="26" spans="1:10" ht="17.25" x14ac:dyDescent="0.3">
      <c r="A26" s="86">
        <v>7</v>
      </c>
      <c r="B26" s="87">
        <v>13000001</v>
      </c>
      <c r="C26" s="87">
        <v>40000000</v>
      </c>
      <c r="D26" s="87">
        <v>1715380.21</v>
      </c>
      <c r="E26" s="88">
        <v>0.11119999999999999</v>
      </c>
      <c r="F26" s="87">
        <v>13000001</v>
      </c>
      <c r="G26" s="25"/>
      <c r="H26" s="25"/>
      <c r="I26" s="111"/>
      <c r="J26" s="112"/>
    </row>
    <row r="27" spans="1:10" ht="17.25" x14ac:dyDescent="0.3">
      <c r="A27" s="86">
        <v>8</v>
      </c>
      <c r="B27" s="87">
        <v>40000001</v>
      </c>
      <c r="C27" s="87">
        <v>130000000</v>
      </c>
      <c r="D27" s="87">
        <v>4718284</v>
      </c>
      <c r="E27" s="88">
        <v>0.11119999999999999</v>
      </c>
      <c r="F27" s="87">
        <v>40000001</v>
      </c>
      <c r="G27" s="25"/>
      <c r="H27" s="25"/>
      <c r="I27" s="25"/>
      <c r="J27" s="25"/>
    </row>
    <row r="28" spans="1:10" ht="17.25" x14ac:dyDescent="0.3">
      <c r="A28" s="86">
        <v>9</v>
      </c>
      <c r="B28" s="87">
        <v>130000001</v>
      </c>
      <c r="C28" s="87">
        <v>260000000</v>
      </c>
      <c r="D28" s="87">
        <v>14721703.949999999</v>
      </c>
      <c r="E28" s="88">
        <v>0.10390000000000001</v>
      </c>
      <c r="F28" s="87">
        <v>130000001</v>
      </c>
      <c r="G28" s="25"/>
      <c r="H28" s="25"/>
      <c r="I28" s="111"/>
      <c r="J28" s="25"/>
    </row>
    <row r="29" spans="1:10" ht="17.25" x14ac:dyDescent="0.3">
      <c r="A29" s="86">
        <v>10</v>
      </c>
      <c r="B29" s="87">
        <v>260000001</v>
      </c>
      <c r="C29" s="87">
        <v>520000000</v>
      </c>
      <c r="D29" s="87">
        <v>28238356.02</v>
      </c>
      <c r="E29" s="88">
        <v>0.1016</v>
      </c>
      <c r="F29" s="87">
        <v>260000001</v>
      </c>
      <c r="G29" s="25"/>
      <c r="H29" s="25"/>
      <c r="I29" s="25"/>
      <c r="J29" s="25"/>
    </row>
    <row r="30" spans="1:10" ht="17.25" x14ac:dyDescent="0.3">
      <c r="A30" s="86">
        <v>11</v>
      </c>
      <c r="B30" s="87">
        <v>520000001</v>
      </c>
      <c r="C30" s="87">
        <v>1040000000</v>
      </c>
      <c r="D30" s="87">
        <v>54654882.619999997</v>
      </c>
      <c r="E30" s="88">
        <v>9.9000000000000005E-2</v>
      </c>
      <c r="F30" s="87">
        <v>520000001</v>
      </c>
      <c r="G30" s="25"/>
      <c r="H30" s="25"/>
      <c r="I30" s="25"/>
      <c r="J30" s="109"/>
    </row>
    <row r="31" spans="1:10" ht="17.25" x14ac:dyDescent="0.3">
      <c r="A31" s="86">
        <v>12</v>
      </c>
      <c r="B31" s="87">
        <v>1040000001</v>
      </c>
      <c r="C31" s="89"/>
      <c r="D31" s="87">
        <v>106144722.59</v>
      </c>
      <c r="E31" s="88">
        <v>9.1600000000000001E-2</v>
      </c>
      <c r="F31" s="87">
        <v>1040000001</v>
      </c>
      <c r="G31" s="25"/>
      <c r="H31" s="25"/>
      <c r="I31" s="25"/>
      <c r="J31" s="25"/>
    </row>
    <row r="32" spans="1:10" ht="17.25" x14ac:dyDescent="0.3">
      <c r="A32" s="25"/>
      <c r="B32" s="25"/>
      <c r="C32" s="25"/>
      <c r="D32" s="25"/>
      <c r="E32" s="25"/>
      <c r="F32" s="25"/>
      <c r="G32" s="25"/>
      <c r="H32" s="25"/>
      <c r="I32" s="25"/>
      <c r="J32" s="25"/>
    </row>
    <row r="33" spans="1:10" ht="17.25" x14ac:dyDescent="0.3">
      <c r="A33" s="25"/>
      <c r="B33" s="25"/>
      <c r="C33" s="25"/>
      <c r="D33" s="25"/>
      <c r="E33" s="25"/>
      <c r="F33" s="25"/>
      <c r="G33" s="25"/>
      <c r="H33" s="25"/>
      <c r="I33" s="25"/>
      <c r="J33" s="25"/>
    </row>
    <row r="34" spans="1:10" ht="17.25" x14ac:dyDescent="0.3">
      <c r="A34" s="124" t="s">
        <v>75</v>
      </c>
      <c r="B34" s="124"/>
      <c r="C34" s="124"/>
      <c r="D34" s="124"/>
      <c r="E34" s="124"/>
      <c r="F34" s="124"/>
      <c r="G34" s="25"/>
      <c r="H34" s="25"/>
      <c r="I34" s="25"/>
      <c r="J34" s="25"/>
    </row>
    <row r="35" spans="1:10" ht="17.25" x14ac:dyDescent="0.3">
      <c r="A35" s="259" t="s">
        <v>56</v>
      </c>
      <c r="B35" s="272" t="s">
        <v>57</v>
      </c>
      <c r="C35" s="273"/>
      <c r="D35" s="259" t="s">
        <v>37</v>
      </c>
      <c r="E35" s="272" t="s">
        <v>58</v>
      </c>
      <c r="F35" s="273"/>
      <c r="G35" s="25"/>
      <c r="H35" s="101" t="s">
        <v>59</v>
      </c>
      <c r="I35" s="102">
        <f>IF($B$2&gt;C39,IF($B$2&gt;C40,IF($B$2&gt;C41,IF($B$2&gt;C42,IF($B$2&gt;C43,IF($B$2&gt;C44,IF($B$2&gt;C45,IF($B$2&gt;C46,IF($B$2&gt;C47,IF($B$2&gt;C48,IF($B$2&gt;C49,D50,D49),D47),D46),D45),D44),D43),100),D42),D41),D40),D39)</f>
        <v>312886.84000000003</v>
      </c>
      <c r="J35" s="103">
        <f>VLOOKUP(I35,D39:F50,2,FALSE)</f>
        <v>0.1169</v>
      </c>
    </row>
    <row r="36" spans="1:10" ht="17.25" x14ac:dyDescent="0.3">
      <c r="A36" s="260"/>
      <c r="B36" s="274"/>
      <c r="C36" s="275"/>
      <c r="D36" s="260"/>
      <c r="E36" s="274"/>
      <c r="F36" s="275"/>
      <c r="G36" s="25"/>
      <c r="H36" s="104"/>
      <c r="I36" s="25"/>
      <c r="J36" s="105">
        <f>VLOOKUP(I35,D39:F50,3,FALSE)</f>
        <v>2000001</v>
      </c>
    </row>
    <row r="37" spans="1:10" ht="17.25" x14ac:dyDescent="0.3">
      <c r="A37" s="260"/>
      <c r="B37" s="99" t="s">
        <v>60</v>
      </c>
      <c r="C37" s="99" t="s">
        <v>61</v>
      </c>
      <c r="D37" s="261"/>
      <c r="E37" s="99" t="s">
        <v>62</v>
      </c>
      <c r="F37" s="99" t="s">
        <v>63</v>
      </c>
      <c r="G37" s="25"/>
      <c r="H37" s="106"/>
      <c r="I37" s="107"/>
      <c r="J37" s="108">
        <f>($B$2-J36)*J35</f>
        <v>144955.88310000001</v>
      </c>
    </row>
    <row r="38" spans="1:10" ht="17.25" x14ac:dyDescent="0.3">
      <c r="A38" s="261"/>
      <c r="B38" s="99" t="s">
        <v>64</v>
      </c>
      <c r="C38" s="99" t="s">
        <v>65</v>
      </c>
      <c r="D38" s="99" t="s">
        <v>66</v>
      </c>
      <c r="E38" s="99" t="s">
        <v>67</v>
      </c>
      <c r="F38" s="99" t="s">
        <v>68</v>
      </c>
      <c r="G38" s="25"/>
      <c r="H38" s="25"/>
      <c r="I38" s="25"/>
      <c r="J38" s="25"/>
    </row>
    <row r="39" spans="1:10" ht="17.25" x14ac:dyDescent="0.3">
      <c r="A39" s="90">
        <v>1</v>
      </c>
      <c r="B39" s="91">
        <v>1</v>
      </c>
      <c r="C39" s="91">
        <v>200000</v>
      </c>
      <c r="D39" s="91">
        <v>12240</v>
      </c>
      <c r="E39" s="92">
        <v>0.18909999999999999</v>
      </c>
      <c r="F39" s="91">
        <v>1</v>
      </c>
      <c r="G39" s="25"/>
      <c r="H39" s="25"/>
      <c r="I39" s="25"/>
      <c r="J39" s="25"/>
    </row>
    <row r="40" spans="1:10" ht="17.25" x14ac:dyDescent="0.3">
      <c r="A40" s="90">
        <v>2</v>
      </c>
      <c r="B40" s="91">
        <v>200001</v>
      </c>
      <c r="C40" s="91">
        <v>650000</v>
      </c>
      <c r="D40" s="91">
        <v>50067.17</v>
      </c>
      <c r="E40" s="92">
        <v>0.18179999999999999</v>
      </c>
      <c r="F40" s="91">
        <v>200001</v>
      </c>
      <c r="G40" s="25"/>
      <c r="H40" s="25"/>
      <c r="I40" s="25"/>
      <c r="J40" s="25"/>
    </row>
    <row r="41" spans="1:10" ht="17.25" x14ac:dyDescent="0.3">
      <c r="A41" s="90">
        <v>3</v>
      </c>
      <c r="B41" s="91">
        <v>650001</v>
      </c>
      <c r="C41" s="91">
        <v>2000000</v>
      </c>
      <c r="D41" s="91">
        <v>131870.39000000001</v>
      </c>
      <c r="E41" s="92">
        <v>0.1341</v>
      </c>
      <c r="F41" s="91">
        <v>650001</v>
      </c>
      <c r="G41" s="25"/>
      <c r="H41" s="25"/>
      <c r="I41" s="25"/>
      <c r="J41" s="25"/>
    </row>
    <row r="42" spans="1:10" ht="17.25" x14ac:dyDescent="0.3">
      <c r="A42" s="90">
        <v>4</v>
      </c>
      <c r="B42" s="91">
        <v>2000001</v>
      </c>
      <c r="C42" s="91">
        <v>4000000</v>
      </c>
      <c r="D42" s="91">
        <v>312886.84000000003</v>
      </c>
      <c r="E42" s="92">
        <v>0.1169</v>
      </c>
      <c r="F42" s="91">
        <v>2000001</v>
      </c>
      <c r="G42" s="25"/>
      <c r="H42" s="25"/>
      <c r="I42" s="25"/>
      <c r="J42" s="25"/>
    </row>
    <row r="43" spans="1:10" ht="17.25" x14ac:dyDescent="0.3">
      <c r="A43" s="90">
        <v>5</v>
      </c>
      <c r="B43" s="91">
        <v>4000001</v>
      </c>
      <c r="C43" s="91">
        <v>6500000</v>
      </c>
      <c r="D43" s="91">
        <v>546673.78</v>
      </c>
      <c r="E43" s="92">
        <v>0.1138</v>
      </c>
      <c r="F43" s="91">
        <v>4000001</v>
      </c>
      <c r="G43" s="25"/>
      <c r="H43" s="25"/>
      <c r="I43" s="109"/>
      <c r="J43" s="113"/>
    </row>
    <row r="44" spans="1:10" ht="17.25" x14ac:dyDescent="0.3">
      <c r="A44" s="90">
        <v>6</v>
      </c>
      <c r="B44" s="91">
        <v>6500001</v>
      </c>
      <c r="C44" s="91">
        <v>13000000</v>
      </c>
      <c r="D44" s="91">
        <v>831246.74</v>
      </c>
      <c r="E44" s="92">
        <v>9.8799999999999999E-2</v>
      </c>
      <c r="F44" s="91">
        <v>6500001</v>
      </c>
      <c r="G44" s="25"/>
      <c r="H44" s="25"/>
      <c r="I44" s="25"/>
      <c r="J44" s="25"/>
    </row>
    <row r="45" spans="1:10" ht="17.25" x14ac:dyDescent="0.3">
      <c r="A45" s="90">
        <v>7</v>
      </c>
      <c r="B45" s="91">
        <v>13000001</v>
      </c>
      <c r="C45" s="91">
        <v>40000000</v>
      </c>
      <c r="D45" s="91">
        <v>1473440.14</v>
      </c>
      <c r="E45" s="92">
        <v>9.5600000000000004E-2</v>
      </c>
      <c r="F45" s="91">
        <v>13000001</v>
      </c>
      <c r="G45" s="25"/>
      <c r="H45" s="25"/>
      <c r="I45" s="25"/>
      <c r="J45" s="109"/>
    </row>
    <row r="46" spans="1:10" ht="17.25" x14ac:dyDescent="0.3">
      <c r="A46" s="90">
        <v>8</v>
      </c>
      <c r="B46" s="91">
        <v>40000001</v>
      </c>
      <c r="C46" s="91">
        <v>130000000</v>
      </c>
      <c r="D46" s="91">
        <v>4052809.42</v>
      </c>
      <c r="E46" s="92">
        <v>9.5500000000000002E-2</v>
      </c>
      <c r="F46" s="91">
        <v>40000001</v>
      </c>
      <c r="G46" s="25"/>
      <c r="H46" s="25"/>
      <c r="I46" s="25"/>
      <c r="J46" s="25"/>
    </row>
    <row r="47" spans="1:10" ht="17.25" x14ac:dyDescent="0.3">
      <c r="A47" s="90">
        <v>9</v>
      </c>
      <c r="B47" s="91">
        <v>130000001</v>
      </c>
      <c r="C47" s="91">
        <v>260000000</v>
      </c>
      <c r="D47" s="91">
        <v>12645330.470000001</v>
      </c>
      <c r="E47" s="92">
        <v>8.9399999999999993E-2</v>
      </c>
      <c r="F47" s="91">
        <v>130000001</v>
      </c>
      <c r="G47" s="25"/>
      <c r="H47" s="25"/>
      <c r="I47" s="109"/>
      <c r="J47" s="109"/>
    </row>
    <row r="48" spans="1:10" ht="17.25" x14ac:dyDescent="0.3">
      <c r="A48" s="90">
        <v>10</v>
      </c>
      <c r="B48" s="91">
        <v>260000001</v>
      </c>
      <c r="C48" s="91">
        <v>520000000</v>
      </c>
      <c r="D48" s="91">
        <v>24255571.57</v>
      </c>
      <c r="E48" s="92">
        <v>8.7300000000000003E-2</v>
      </c>
      <c r="F48" s="91">
        <v>260000001</v>
      </c>
      <c r="G48" s="25"/>
      <c r="H48" s="25"/>
      <c r="I48" s="25"/>
      <c r="J48" s="25"/>
    </row>
    <row r="49" spans="1:10" ht="17.25" x14ac:dyDescent="0.3">
      <c r="A49" s="90">
        <v>11</v>
      </c>
      <c r="B49" s="91">
        <v>520000001</v>
      </c>
      <c r="C49" s="91">
        <v>1040000000</v>
      </c>
      <c r="D49" s="91">
        <v>46946267.549999997</v>
      </c>
      <c r="E49" s="92">
        <v>8.5099999999999995E-2</v>
      </c>
      <c r="F49" s="91">
        <v>520000001</v>
      </c>
      <c r="G49" s="25"/>
      <c r="H49" s="25"/>
      <c r="I49" s="25"/>
      <c r="J49" s="25"/>
    </row>
    <row r="50" spans="1:10" ht="17.25" x14ac:dyDescent="0.3">
      <c r="A50" s="90">
        <v>12</v>
      </c>
      <c r="B50" s="91">
        <v>1040000001</v>
      </c>
      <c r="C50" s="93"/>
      <c r="D50" s="91">
        <v>91173895.319999993</v>
      </c>
      <c r="E50" s="92">
        <v>7.8600000000000003E-2</v>
      </c>
      <c r="F50" s="91">
        <v>1040000001</v>
      </c>
      <c r="G50" s="25"/>
      <c r="H50" s="25"/>
      <c r="I50" s="25"/>
      <c r="J50" s="25"/>
    </row>
    <row r="51" spans="1:10" ht="17.25" x14ac:dyDescent="0.3">
      <c r="A51" s="125"/>
      <c r="B51" s="126"/>
      <c r="C51" s="127"/>
      <c r="D51" s="126"/>
      <c r="E51" s="128"/>
      <c r="F51" s="126"/>
      <c r="G51" s="25"/>
      <c r="H51" s="25"/>
      <c r="I51" s="25"/>
      <c r="J51" s="110"/>
    </row>
    <row r="52" spans="1:10" ht="17.25" x14ac:dyDescent="0.3">
      <c r="A52" s="25"/>
      <c r="B52" s="25"/>
      <c r="C52" s="25"/>
      <c r="D52" s="25"/>
      <c r="E52" s="25"/>
      <c r="F52" s="25"/>
      <c r="G52" s="25"/>
      <c r="H52" s="25"/>
      <c r="I52" s="111"/>
      <c r="J52" s="112"/>
    </row>
    <row r="53" spans="1:10" ht="17.25" x14ac:dyDescent="0.3">
      <c r="A53" s="124" t="s">
        <v>76</v>
      </c>
      <c r="B53" s="124"/>
      <c r="C53" s="124"/>
      <c r="D53" s="124"/>
      <c r="E53" s="124"/>
      <c r="F53" s="124"/>
      <c r="G53" s="25"/>
      <c r="H53" s="25"/>
      <c r="I53" s="25"/>
      <c r="J53" s="25"/>
    </row>
    <row r="54" spans="1:10" ht="17.25" x14ac:dyDescent="0.3">
      <c r="A54" s="262" t="s">
        <v>56</v>
      </c>
      <c r="B54" s="254" t="s">
        <v>57</v>
      </c>
      <c r="C54" s="255"/>
      <c r="D54" s="262" t="s">
        <v>37</v>
      </c>
      <c r="E54" s="254" t="s">
        <v>58</v>
      </c>
      <c r="F54" s="255"/>
      <c r="G54" s="25"/>
      <c r="H54" s="101" t="s">
        <v>59</v>
      </c>
      <c r="I54" s="102">
        <f>IF($B$2&gt;C58,IF($B$2&gt;C59,IF($B$2&gt;C60,IF($B$2&gt;C61,IF($B$2&gt;C62,IF($B$2&gt;C63,IF($B$2&gt;C64,IF($B$2&gt;C65,IF($B$2&gt;C66,IF($B$2&gt;C67,IF($B$2&gt;C68,D69,D68),D66),D65),D64),D63),D62),100),D61),D60),D59),D58)</f>
        <v>261510.57</v>
      </c>
      <c r="J54" s="103">
        <f>VLOOKUP(I54,D58:F69,2,FALSE)</f>
        <v>9.7699999999999995E-2</v>
      </c>
    </row>
    <row r="55" spans="1:10" ht="17.25" x14ac:dyDescent="0.3">
      <c r="A55" s="263"/>
      <c r="B55" s="256"/>
      <c r="C55" s="257"/>
      <c r="D55" s="263"/>
      <c r="E55" s="256"/>
      <c r="F55" s="257"/>
      <c r="G55" s="25"/>
      <c r="H55" s="104"/>
      <c r="I55" s="25"/>
      <c r="J55" s="105">
        <f>VLOOKUP(I54,D58:F69,3,FALSE)</f>
        <v>2000001</v>
      </c>
    </row>
    <row r="56" spans="1:10" ht="17.25" x14ac:dyDescent="0.3">
      <c r="A56" s="263"/>
      <c r="B56" s="98" t="s">
        <v>60</v>
      </c>
      <c r="C56" s="98" t="s">
        <v>61</v>
      </c>
      <c r="D56" s="264"/>
      <c r="E56" s="98" t="s">
        <v>62</v>
      </c>
      <c r="F56" s="98" t="s">
        <v>63</v>
      </c>
      <c r="G56" s="25"/>
      <c r="H56" s="106"/>
      <c r="I56" s="107"/>
      <c r="J56" s="108">
        <f>($B$2-J55)*J54</f>
        <v>121147.90229999999</v>
      </c>
    </row>
    <row r="57" spans="1:10" ht="17.25" x14ac:dyDescent="0.3">
      <c r="A57" s="264"/>
      <c r="B57" s="98" t="s">
        <v>64</v>
      </c>
      <c r="C57" s="98" t="s">
        <v>65</v>
      </c>
      <c r="D57" s="98" t="s">
        <v>66</v>
      </c>
      <c r="E57" s="98" t="s">
        <v>67</v>
      </c>
      <c r="F57" s="98" t="s">
        <v>68</v>
      </c>
      <c r="G57" s="25"/>
      <c r="H57" s="25"/>
      <c r="I57" s="25"/>
      <c r="J57" s="25"/>
    </row>
    <row r="58" spans="1:10" ht="17.25" x14ac:dyDescent="0.3">
      <c r="A58" s="94">
        <v>1</v>
      </c>
      <c r="B58" s="95">
        <v>1</v>
      </c>
      <c r="C58" s="95">
        <v>200000</v>
      </c>
      <c r="D58" s="95">
        <v>10230.18</v>
      </c>
      <c r="E58" s="96">
        <v>0.15809999999999999</v>
      </c>
      <c r="F58" s="95">
        <v>1</v>
      </c>
      <c r="G58" s="25"/>
      <c r="H58" s="25"/>
      <c r="I58" s="25"/>
      <c r="J58" s="25"/>
    </row>
    <row r="59" spans="1:10" ht="17.25" x14ac:dyDescent="0.3">
      <c r="A59" s="94">
        <v>2</v>
      </c>
      <c r="B59" s="95">
        <v>200001</v>
      </c>
      <c r="C59" s="95">
        <v>650000</v>
      </c>
      <c r="D59" s="95">
        <v>41846.1</v>
      </c>
      <c r="E59" s="96">
        <v>0.152</v>
      </c>
      <c r="F59" s="95">
        <v>200001</v>
      </c>
      <c r="G59" s="25"/>
      <c r="H59" s="25"/>
      <c r="I59" s="25"/>
      <c r="J59" s="25"/>
    </row>
    <row r="60" spans="1:10" ht="17.25" x14ac:dyDescent="0.3">
      <c r="A60" s="94">
        <v>3</v>
      </c>
      <c r="B60" s="95">
        <v>650001</v>
      </c>
      <c r="C60" s="95">
        <v>2000000</v>
      </c>
      <c r="D60" s="95">
        <v>110217.17</v>
      </c>
      <c r="E60" s="96">
        <v>0.11210000000000001</v>
      </c>
      <c r="F60" s="95">
        <v>650001</v>
      </c>
      <c r="G60" s="25"/>
      <c r="H60" s="25"/>
      <c r="I60" s="25"/>
      <c r="J60" s="25"/>
    </row>
    <row r="61" spans="1:10" ht="17.25" x14ac:dyDescent="0.3">
      <c r="A61" s="94">
        <v>4</v>
      </c>
      <c r="B61" s="95">
        <v>2000001</v>
      </c>
      <c r="C61" s="95">
        <v>4000000</v>
      </c>
      <c r="D61" s="95">
        <v>261510.57</v>
      </c>
      <c r="E61" s="96">
        <v>9.7699999999999995E-2</v>
      </c>
      <c r="F61" s="95">
        <v>2000001</v>
      </c>
      <c r="G61" s="25"/>
      <c r="H61" s="25"/>
      <c r="I61" s="25"/>
      <c r="J61" s="25"/>
    </row>
    <row r="62" spans="1:10" ht="17.25" x14ac:dyDescent="0.3">
      <c r="A62" s="94">
        <v>5</v>
      </c>
      <c r="B62" s="95">
        <v>4000001</v>
      </c>
      <c r="C62" s="95">
        <v>6500000</v>
      </c>
      <c r="D62" s="95">
        <v>456909.51</v>
      </c>
      <c r="E62" s="96">
        <v>9.5200000000000007E-2</v>
      </c>
      <c r="F62" s="95">
        <v>4000001</v>
      </c>
      <c r="G62" s="25"/>
      <c r="H62" s="25"/>
      <c r="I62" s="25"/>
      <c r="J62" s="25"/>
    </row>
    <row r="63" spans="1:10" ht="17.25" x14ac:dyDescent="0.3">
      <c r="A63" s="94">
        <v>6</v>
      </c>
      <c r="B63" s="95">
        <v>6500001</v>
      </c>
      <c r="C63" s="95">
        <v>13000000</v>
      </c>
      <c r="D63" s="95">
        <v>694755.35</v>
      </c>
      <c r="E63" s="96">
        <v>8.2600000000000007E-2</v>
      </c>
      <c r="F63" s="95">
        <v>6500001</v>
      </c>
      <c r="G63" s="25"/>
      <c r="H63" s="25"/>
      <c r="I63" s="25"/>
      <c r="J63" s="25"/>
    </row>
    <row r="64" spans="1:10" ht="17.25" x14ac:dyDescent="0.3">
      <c r="A64" s="94">
        <v>7</v>
      </c>
      <c r="B64" s="95">
        <v>13000001</v>
      </c>
      <c r="C64" s="95">
        <v>40000000</v>
      </c>
      <c r="D64" s="95">
        <v>1231500.08</v>
      </c>
      <c r="E64" s="96">
        <v>7.9899999999999999E-2</v>
      </c>
      <c r="F64" s="95">
        <v>13000001</v>
      </c>
      <c r="G64" s="25"/>
      <c r="H64" s="25"/>
      <c r="I64" s="25"/>
      <c r="J64" s="25"/>
    </row>
    <row r="65" spans="1:10" ht="17.25" x14ac:dyDescent="0.3">
      <c r="A65" s="94">
        <v>8</v>
      </c>
      <c r="B65" s="95">
        <v>40000001</v>
      </c>
      <c r="C65" s="95">
        <v>130000000</v>
      </c>
      <c r="D65" s="95">
        <v>3387334.84</v>
      </c>
      <c r="E65" s="96">
        <v>7.9799999999999996E-2</v>
      </c>
      <c r="F65" s="95">
        <v>40000001</v>
      </c>
      <c r="G65" s="25"/>
      <c r="H65" s="25"/>
      <c r="I65" s="25"/>
      <c r="J65" s="25"/>
    </row>
    <row r="66" spans="1:10" ht="17.25" x14ac:dyDescent="0.3">
      <c r="A66" s="94">
        <v>9</v>
      </c>
      <c r="B66" s="95">
        <v>130000001</v>
      </c>
      <c r="C66" s="95">
        <v>260000000</v>
      </c>
      <c r="D66" s="95">
        <v>10568956.99</v>
      </c>
      <c r="E66" s="96">
        <v>7.4700000000000003E-2</v>
      </c>
      <c r="F66" s="95">
        <v>130000001</v>
      </c>
      <c r="G66" s="25"/>
      <c r="H66" s="25"/>
      <c r="I66" s="25"/>
      <c r="J66" s="25"/>
    </row>
    <row r="67" spans="1:10" ht="17.25" x14ac:dyDescent="0.3">
      <c r="A67" s="94">
        <v>10</v>
      </c>
      <c r="B67" s="95">
        <v>260000001</v>
      </c>
      <c r="C67" s="95">
        <v>520000000</v>
      </c>
      <c r="D67" s="95">
        <v>20272787.120000001</v>
      </c>
      <c r="E67" s="96">
        <v>7.2900000000000006E-2</v>
      </c>
      <c r="F67" s="95">
        <v>260000001</v>
      </c>
      <c r="G67" s="25"/>
      <c r="H67" s="25"/>
      <c r="I67" s="25"/>
      <c r="J67" s="25"/>
    </row>
    <row r="68" spans="1:10" ht="17.25" x14ac:dyDescent="0.3">
      <c r="A68" s="94">
        <v>11</v>
      </c>
      <c r="B68" s="95">
        <v>520000001</v>
      </c>
      <c r="C68" s="95">
        <v>1040000000</v>
      </c>
      <c r="D68" s="95">
        <v>39237652.490000002</v>
      </c>
      <c r="E68" s="96">
        <v>7.1099999999999997E-2</v>
      </c>
      <c r="F68" s="95">
        <v>520000001</v>
      </c>
      <c r="G68" s="25"/>
      <c r="H68" s="25"/>
      <c r="I68" s="25"/>
      <c r="J68" s="25"/>
    </row>
    <row r="69" spans="1:10" ht="17.25" x14ac:dyDescent="0.3">
      <c r="A69" s="94">
        <v>12</v>
      </c>
      <c r="B69" s="95">
        <v>1040000001</v>
      </c>
      <c r="C69" s="97"/>
      <c r="D69" s="95">
        <v>76203068.030000001</v>
      </c>
      <c r="E69" s="96">
        <v>6.5699999999999995E-2</v>
      </c>
      <c r="F69" s="95">
        <v>1040000001</v>
      </c>
      <c r="G69" s="25"/>
      <c r="H69" s="25"/>
      <c r="I69" s="25"/>
      <c r="J69" s="25"/>
    </row>
  </sheetData>
  <mergeCells count="14">
    <mergeCell ref="A6:B6"/>
    <mergeCell ref="A15:F15"/>
    <mergeCell ref="E16:F17"/>
    <mergeCell ref="E35:F36"/>
    <mergeCell ref="B35:C36"/>
    <mergeCell ref="E54:F55"/>
    <mergeCell ref="B54:C55"/>
    <mergeCell ref="D16:D18"/>
    <mergeCell ref="A35:A38"/>
    <mergeCell ref="A54:A57"/>
    <mergeCell ref="D35:D37"/>
    <mergeCell ref="D54:D56"/>
    <mergeCell ref="B16:C17"/>
    <mergeCell ref="A16:A19"/>
  </mergeCells>
  <dataValidations disablePrompts="1" count="1">
    <dataValidation type="list" allowBlank="1" showInputMessage="1" showErrorMessage="1" sqref="B3" xr:uid="{B51F7383-3686-45E5-B056-88C6DDC4D8D2}">
      <formula1>"Low,Medium,High"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Client Fees</vt:lpstr>
      <vt:lpstr>SACAP - Court</vt:lpstr>
      <vt:lpstr>QS_BH Split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dcterms:created xsi:type="dcterms:W3CDTF">2023-09-15T07:38:45Z</dcterms:created>
  <dcterms:modified xsi:type="dcterms:W3CDTF">2023-10-05T07:26:56Z</dcterms:modified>
</cp:coreProperties>
</file>