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Bathatile - Limpopo\"/>
    </mc:Choice>
  </mc:AlternateContent>
  <xr:revisionPtr revIDLastSave="0" documentId="13_ncr:1_{4E758B9A-B417-4174-A4EF-3D74F720E70B}" xr6:coauthVersionLast="47" xr6:coauthVersionMax="47" xr10:uidLastSave="{00000000-0000-0000-0000-000000000000}"/>
  <bookViews>
    <workbookView xWindow="-120" yWindow="-120" windowWidth="29040" windowHeight="1572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H47" i="3" l="1"/>
  <c r="E29" i="3"/>
  <c r="F30" i="3"/>
  <c r="F29" i="3"/>
  <c r="F25" i="3"/>
  <c r="F24" i="3"/>
  <c r="H44" i="3"/>
  <c r="P21" i="1"/>
  <c r="J20" i="1"/>
  <c r="D20" i="1"/>
  <c r="I15" i="1"/>
  <c r="J15" i="1" s="1"/>
  <c r="D21" i="1" s="1"/>
  <c r="H21" i="1" s="1"/>
  <c r="J21" i="1" s="1"/>
  <c r="L21" i="1" s="1"/>
  <c r="H66" i="3"/>
  <c r="I65" i="3"/>
  <c r="I64" i="3"/>
  <c r="I63" i="3"/>
  <c r="I62" i="3"/>
  <c r="I60" i="3"/>
  <c r="F21" i="2"/>
  <c r="E30" i="3"/>
  <c r="E28" i="3"/>
  <c r="H28" i="3" s="1"/>
  <c r="H50" i="3"/>
  <c r="E24" i="3"/>
  <c r="E25" i="3"/>
  <c r="E23" i="3"/>
  <c r="E22" i="3"/>
  <c r="H22" i="3" s="1"/>
  <c r="H43" i="3"/>
  <c r="G46" i="3"/>
  <c r="G22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H30" i="3" l="1"/>
  <c r="F27" i="3"/>
  <c r="H25" i="3"/>
  <c r="H24" i="3"/>
  <c r="D5" i="4"/>
  <c r="I66" i="3"/>
  <c r="E68" i="3" s="1"/>
  <c r="E73" i="3" s="1"/>
  <c r="E74" i="3" s="1"/>
  <c r="H42" i="3"/>
  <c r="H52" i="3" s="1"/>
  <c r="M49" i="2"/>
  <c r="S42" i="2"/>
  <c r="N49" i="2"/>
  <c r="F46" i="3"/>
  <c r="G27" i="3"/>
  <c r="H48" i="3"/>
  <c r="H49" i="3"/>
  <c r="O41" i="2"/>
  <c r="O23" i="2"/>
  <c r="M51" i="2"/>
  <c r="M52" i="2"/>
  <c r="M27" i="2"/>
  <c r="F5" i="4" l="1"/>
  <c r="D7" i="4"/>
  <c r="E75" i="3"/>
  <c r="E77" i="3" s="1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I13" i="1"/>
  <c r="J13" i="1" s="1"/>
  <c r="D19" i="1" s="1"/>
  <c r="H20" i="1" l="1"/>
  <c r="L20" i="1" s="1"/>
  <c r="H19" i="1"/>
  <c r="J19" i="1" s="1"/>
  <c r="F83" i="3"/>
  <c r="I83" i="3" s="1"/>
  <c r="F80" i="3"/>
  <c r="F82" i="3"/>
  <c r="I82" i="3" s="1"/>
  <c r="F81" i="3"/>
  <c r="I81" i="3" s="1"/>
  <c r="U77" i="2"/>
  <c r="T88" i="2"/>
  <c r="T92" i="2"/>
  <c r="U100" i="2"/>
  <c r="H53" i="3"/>
  <c r="H54" i="3" s="1"/>
  <c r="O50" i="2"/>
  <c r="O29" i="2"/>
  <c r="O28" i="2"/>
  <c r="O24" i="2"/>
  <c r="F29" i="2"/>
  <c r="L19" i="1" l="1"/>
  <c r="L70" i="2"/>
  <c r="M70" i="2" s="1"/>
  <c r="N70" i="2" s="1"/>
  <c r="I86" i="3"/>
  <c r="I80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85" i="3" l="1"/>
  <c r="I88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29" i="3" l="1"/>
  <c r="H27" i="3" s="1"/>
  <c r="F33" i="3" s="1"/>
  <c r="I5" i="4" l="1"/>
  <c r="D8" i="4" l="1"/>
  <c r="D9" i="4" s="1"/>
  <c r="H23" i="3"/>
  <c r="H21" i="3"/>
  <c r="H33" i="3" s="1"/>
  <c r="F21" i="3"/>
  <c r="G21" i="3"/>
  <c r="N21" i="3" s="1"/>
  <c r="H34" i="3" l="1"/>
  <c r="H35" i="3" s="1"/>
  <c r="K27" i="3" l="1"/>
  <c r="N23" i="3"/>
  <c r="L27" i="3" l="1"/>
  <c r="M27" i="3" s="1"/>
  <c r="O27" i="3" l="1"/>
  <c r="N27" i="3" s="1"/>
  <c r="N29" i="3" l="1"/>
  <c r="N31" i="3" s="1"/>
</calcChain>
</file>

<file path=xl/sharedStrings.xml><?xml version="1.0" encoding="utf-8"?>
<sst xmlns="http://schemas.openxmlformats.org/spreadsheetml/2006/main" count="309" uniqueCount="161">
  <si>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</si>
  <si>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</si>
  <si>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</si>
  <si>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</si>
  <si>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</si>
  <si>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</si>
  <si>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</si>
  <si>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</si>
  <si>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</si>
  <si>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</si>
  <si>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</si>
  <si>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</si>
  <si>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</si>
  <si>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</si>
  <si>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</si>
  <si>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</si>
  <si>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</si>
  <si>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</si>
  <si>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</si>
  <si>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</si>
  <si>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</si>
  <si>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</si>
  <si>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</si>
  <si>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</si>
  <si>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</si>
  <si>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</si>
  <si>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</si>
  <si>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</si>
  <si>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</si>
  <si>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</si>
  <si>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</si>
  <si>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</si>
  <si>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</si>
  <si>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</si>
  <si>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</si>
  <si>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</si>
  <si>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</si>
  <si>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</si>
  <si>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</si>
  <si>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</si>
  <si>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</si>
  <si>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</si>
  <si>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</si>
  <si>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</si>
  <si>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</si>
  <si>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</si>
  <si>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</si>
  <si>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</si>
  <si>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</si>
  <si>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</si>
  <si>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</si>
  <si>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</si>
  <si>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</si>
  <si>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</si>
  <si>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</si>
  <si>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</si>
  <si>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</si>
  <si>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</si>
  <si>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</si>
  <si>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</si>
  <si>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</si>
  <si>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</si>
  <si>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</si>
  <si>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</si>
  <si>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</si>
  <si>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</si>
  <si>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</si>
  <si>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</si>
  <si>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</si>
  <si>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</si>
  <si>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</si>
  <si>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</si>
  <si>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</si>
  <si>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</si>
  <si>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</si>
  <si>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</si>
  <si>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</si>
  <si>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</si>
  <si>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</si>
  <si>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</si>
  <si>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</si>
  <si>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</si>
  <si>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</si>
  <si>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</si>
  <si>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</si>
  <si>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</si>
  <si>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</si>
  <si>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</si>
  <si>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</si>
  <si>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</si>
  <si>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</si>
  <si>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</si>
  <si>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</si>
  <si>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</si>
  <si>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</si>
  <si>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</si>
  <si>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</si>
  <si>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</si>
  <si>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</si>
  <si>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</si>
  <si>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</si>
  <si>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</si>
  <si>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</si>
  <si>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</si>
  <si>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</si>
  <si>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</si>
  <si>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</si>
  <si>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</si>
  <si>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</si>
  <si>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</si>
  <si>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</si>
  <si>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</si>
  <si>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</si>
  <si>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</si>
  <si>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</si>
  <si>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</si>
  <si>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</si>
  <si>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</si>
  <si>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</si>
  <si>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</si>
  <si>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Drawing 3D - SketchUp</t>
  </si>
  <si>
    <t>Project Daily Rate</t>
  </si>
  <si>
    <t>Discount:</t>
  </si>
  <si>
    <t>Total Professional Fees:</t>
  </si>
  <si>
    <t>Phase 2:</t>
  </si>
  <si>
    <t>Phase  1 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</si>
  <si>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</si>
  <si>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</si>
  <si>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</si>
  <si>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</si>
  <si>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</si>
  <si>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</si>
  <si>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</si>
  <si>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</si>
  <si>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</si>
  <si>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</si>
  <si>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</si>
  <si>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</si>
  <si>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</si>
  <si>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</si>
  <si>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</si>
  <si>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</si>
  <si>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</si>
  <si>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</si>
  <si>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</si>
  <si>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</si>
  <si>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</si>
  <si>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</si>
  <si>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D'Arros Final Account</t>
  </si>
  <si>
    <t>Hannes</t>
  </si>
  <si>
    <t>Tech</t>
  </si>
  <si>
    <t>Johan Hugo</t>
  </si>
  <si>
    <t>basic tech drawings only</t>
  </si>
  <si>
    <t>Design Planning</t>
  </si>
  <si>
    <t>Visualization</t>
  </si>
  <si>
    <t>New Building</t>
  </si>
  <si>
    <t xml:space="preserve">Restaurant </t>
  </si>
  <si>
    <t>Technical Drawings</t>
  </si>
  <si>
    <t>Basic</t>
  </si>
  <si>
    <t xml:space="preserve">Assist with Interior Design </t>
  </si>
  <si>
    <t>Architectural Design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</si>
</sst>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8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 applyAlignment="1"/>
    <xf numFmtId="164" fontId="4" fillId="0" borderId="13" xfId="0" applyNumberFormat="1" applyFont="1" applyBorder="1" applyAlignment="1"/>
    <xf numFmtId="0" fontId="4" fillId="0" borderId="13" xfId="0" applyFont="1" applyBorder="1"/>
    <xf numFmtId="164" fontId="4" fillId="0" borderId="70" xfId="0" applyNumberFormat="1" applyFont="1" applyBorder="1" applyAlignment="1"/>
    <xf numFmtId="0" fontId="0" fillId="0" borderId="0" xfId="0" applyAlignment="1"/>
    <xf numFmtId="0" fontId="0" fillId="0" borderId="6" xfId="0" applyBorder="1"/>
    <xf numFmtId="0" fontId="4" fillId="0" borderId="0" xfId="0" applyFont="1" applyBorder="1"/>
    <xf numFmtId="0" fontId="0" fillId="0" borderId="0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6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9" xfId="0" applyFont="1" applyBorder="1"/>
    <xf numFmtId="164" fontId="4" fillId="0" borderId="0" xfId="0" applyNumberFormat="1" applyFont="1" applyAlignment="1">
      <alignment horizontal="center" vertical="center"/>
    </xf>
    <xf numFmtId="164" fontId="8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right"/>
    </xf>
    <xf numFmtId="9" fontId="8" fillId="0" borderId="0" xfId="3" applyFont="1" applyFill="1" applyBorder="1" applyAlignment="1"/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 applyBorder="1" applyAlignment="1"/>
    <xf numFmtId="9" fontId="4" fillId="0" borderId="0" xfId="3" applyFont="1" applyFill="1" applyBorder="1" applyAlignment="1"/>
    <xf numFmtId="0" fontId="4" fillId="0" borderId="0" xfId="0" applyFont="1" applyFill="1" applyBorder="1" applyAlignment="1"/>
    <xf numFmtId="164" fontId="4" fillId="0" borderId="0" xfId="0" applyNumberFormat="1" applyFont="1" applyFill="1" applyBorder="1" applyAlignment="1"/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/>
    <xf numFmtId="0" fontId="4" fillId="0" borderId="54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164" fontId="8" fillId="8" borderId="0" xfId="0" applyNumberFormat="1" applyFont="1" applyFill="1" applyBorder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164" fontId="4" fillId="11" borderId="0" xfId="0" applyNumberFormat="1" applyFont="1" applyFill="1" applyBorder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2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4" workbookViewId="0">
      <selection activeCell="K24" sqref="K24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19.28515625" style="1" customWidth="1"/>
    <col min="17" max="17" width="10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3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3" x14ac:dyDescent="0.3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</row>
    <row r="4" spans="1:13" x14ac:dyDescent="0.3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</row>
    <row r="5" spans="1:13" x14ac:dyDescent="0.3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233"/>
    </row>
    <row r="6" spans="1:13" x14ac:dyDescent="0.3">
      <c r="A6" s="233"/>
      <c r="B6" s="233"/>
      <c r="C6" s="233"/>
      <c r="D6" s="233"/>
      <c r="E6" s="233"/>
      <c r="F6" s="233"/>
      <c r="G6" s="233"/>
      <c r="H6" s="233"/>
      <c r="I6" s="233"/>
      <c r="J6" s="233"/>
      <c r="K6" s="233"/>
    </row>
    <row r="7" spans="1:13" x14ac:dyDescent="0.3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233"/>
    </row>
    <row r="8" spans="1:13" x14ac:dyDescent="0.3">
      <c r="A8" s="233"/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3" x14ac:dyDescent="0.3">
      <c r="A9" s="233"/>
      <c r="B9" s="233"/>
      <c r="C9" s="233"/>
      <c r="D9" s="233"/>
      <c r="E9" s="233"/>
      <c r="F9" s="233"/>
      <c r="G9" s="233"/>
      <c r="H9" s="233"/>
      <c r="I9" s="233"/>
      <c r="J9" s="233"/>
      <c r="K9" s="233"/>
    </row>
    <row r="10" spans="1:13" x14ac:dyDescent="0.3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</row>
    <row r="11" spans="1:13" ht="21" thickBot="1" x14ac:dyDescent="0.35">
      <c r="A11" s="231" t="s">
        <v>8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M11" s="8"/>
    </row>
    <row r="12" spans="1:13" ht="18.75" customHeight="1" thickBot="1" x14ac:dyDescent="0.35">
      <c r="A12" s="172" t="s">
        <v>141</v>
      </c>
      <c r="B12" s="238" t="s">
        <v>1</v>
      </c>
      <c r="C12" s="238"/>
      <c r="D12" s="171" t="s">
        <v>0</v>
      </c>
      <c r="E12" s="248" t="s">
        <v>2</v>
      </c>
      <c r="F12" s="248"/>
      <c r="G12" s="248"/>
      <c r="H12" s="247" t="s">
        <v>12</v>
      </c>
      <c r="I12" s="247"/>
      <c r="J12" s="234" t="s">
        <v>5</v>
      </c>
      <c r="K12" s="235"/>
    </row>
    <row r="13" spans="1:13" x14ac:dyDescent="0.3">
      <c r="A13" s="5">
        <v>1</v>
      </c>
      <c r="B13" s="242" t="s">
        <v>6</v>
      </c>
      <c r="C13" s="242"/>
      <c r="D13" s="1" t="s">
        <v>3</v>
      </c>
      <c r="E13" s="6"/>
      <c r="F13" s="237">
        <v>40870</v>
      </c>
      <c r="G13" s="237"/>
      <c r="H13" s="7">
        <v>0.15</v>
      </c>
      <c r="I13" s="6">
        <f>F13*H13</f>
        <v>6130.5</v>
      </c>
      <c r="J13" s="236">
        <f>F13+I13</f>
        <v>47000.5</v>
      </c>
      <c r="K13" s="236"/>
      <c r="M13" s="6"/>
    </row>
    <row r="14" spans="1:13" x14ac:dyDescent="0.3">
      <c r="A14" s="5">
        <v>2</v>
      </c>
      <c r="B14" s="239" t="s">
        <v>7</v>
      </c>
      <c r="C14" s="239"/>
      <c r="D14" s="1" t="s">
        <v>3</v>
      </c>
      <c r="F14" s="240">
        <v>38000</v>
      </c>
      <c r="G14" s="240"/>
      <c r="H14" s="7">
        <v>0.15</v>
      </c>
      <c r="I14" s="6">
        <f>F14*H14</f>
        <v>5700</v>
      </c>
      <c r="J14" s="237">
        <f>F14+I14</f>
        <v>43700</v>
      </c>
      <c r="K14" s="237"/>
    </row>
    <row r="15" spans="1:13" x14ac:dyDescent="0.3">
      <c r="A15" s="5">
        <v>3</v>
      </c>
      <c r="B15" s="251" t="s">
        <v>151</v>
      </c>
      <c r="C15" s="251"/>
      <c r="D15" s="1" t="s">
        <v>150</v>
      </c>
      <c r="F15" s="240">
        <v>24000</v>
      </c>
      <c r="G15" s="240"/>
      <c r="H15" s="7">
        <v>0.15</v>
      </c>
      <c r="I15" s="6">
        <f>F15*H15</f>
        <v>3600</v>
      </c>
      <c r="J15" s="237">
        <f>F15+I15</f>
        <v>27600</v>
      </c>
      <c r="K15" s="237"/>
      <c r="L15" s="1" t="s">
        <v>152</v>
      </c>
    </row>
    <row r="16" spans="1:13" x14ac:dyDescent="0.3">
      <c r="A16" s="5"/>
    </row>
    <row r="17" spans="1:17" ht="21" thickBot="1" x14ac:dyDescent="0.35">
      <c r="A17" s="244" t="s">
        <v>9</v>
      </c>
      <c r="B17" s="244"/>
      <c r="C17" s="244"/>
      <c r="D17" s="244"/>
      <c r="E17" s="244"/>
      <c r="F17" s="244"/>
      <c r="G17" s="244"/>
      <c r="H17" s="244"/>
      <c r="I17" s="244"/>
      <c r="J17" s="244"/>
      <c r="K17" s="244"/>
    </row>
    <row r="18" spans="1:17" ht="18" thickBot="1" x14ac:dyDescent="0.35">
      <c r="A18" s="156" t="s">
        <v>141</v>
      </c>
      <c r="B18" s="241" t="s">
        <v>10</v>
      </c>
      <c r="C18" s="241"/>
      <c r="D18" s="243" t="s">
        <v>13</v>
      </c>
      <c r="E18" s="243"/>
      <c r="F18" s="241" t="s">
        <v>11</v>
      </c>
      <c r="G18" s="241"/>
      <c r="H18" s="173" t="s">
        <v>142</v>
      </c>
      <c r="I18" s="174" t="s">
        <v>98</v>
      </c>
      <c r="J18" s="245" t="s">
        <v>14</v>
      </c>
      <c r="K18" s="245"/>
      <c r="L18" s="205" t="s">
        <v>99</v>
      </c>
      <c r="M18" s="202"/>
      <c r="N18" s="203"/>
      <c r="O18" s="204"/>
    </row>
    <row r="19" spans="1:17" x14ac:dyDescent="0.3">
      <c r="A19" s="5">
        <v>1</v>
      </c>
      <c r="B19" s="239">
        <v>21</v>
      </c>
      <c r="C19" s="239"/>
      <c r="D19" s="249">
        <f>J13/B19</f>
        <v>2238.1190476190477</v>
      </c>
      <c r="E19" s="249"/>
      <c r="F19" s="239">
        <v>8</v>
      </c>
      <c r="G19" s="239"/>
      <c r="H19" s="127">
        <f>D19/F19</f>
        <v>279.76488095238096</v>
      </c>
      <c r="I19" s="2">
        <v>2.4</v>
      </c>
      <c r="J19" s="250">
        <f>H19*I19</f>
        <v>671.43571428571431</v>
      </c>
      <c r="K19" s="250"/>
      <c r="L19" s="246">
        <f>J19*F19</f>
        <v>5371.4857142857145</v>
      </c>
      <c r="M19" s="246"/>
      <c r="N19" s="246"/>
      <c r="O19" s="246"/>
      <c r="P19" s="1" t="s">
        <v>149</v>
      </c>
      <c r="Q19" s="1" t="s">
        <v>3</v>
      </c>
    </row>
    <row r="20" spans="1:17" x14ac:dyDescent="0.3">
      <c r="A20" s="5">
        <v>2</v>
      </c>
      <c r="B20" s="239">
        <v>21</v>
      </c>
      <c r="C20" s="239"/>
      <c r="D20" s="249">
        <f>J14/B20</f>
        <v>2080.9523809523807</v>
      </c>
      <c r="E20" s="249"/>
      <c r="F20" s="239">
        <v>8</v>
      </c>
      <c r="G20" s="239"/>
      <c r="H20" s="127">
        <f>D20/F20</f>
        <v>260.11904761904759</v>
      </c>
      <c r="I20" s="2">
        <v>2.4</v>
      </c>
      <c r="J20" s="250">
        <f>H20*I20</f>
        <v>624.28571428571422</v>
      </c>
      <c r="K20" s="250"/>
      <c r="L20" s="246">
        <f>J20*F20</f>
        <v>4994.2857142857138</v>
      </c>
      <c r="M20" s="246"/>
      <c r="N20" s="246"/>
      <c r="O20" s="246"/>
      <c r="P20" s="1" t="s">
        <v>119</v>
      </c>
      <c r="Q20" s="1" t="s">
        <v>3</v>
      </c>
    </row>
    <row r="21" spans="1:17" x14ac:dyDescent="0.3">
      <c r="A21" s="5">
        <v>3</v>
      </c>
      <c r="B21" s="251">
        <v>21</v>
      </c>
      <c r="C21" s="251"/>
      <c r="D21" s="252">
        <f>J15/B21</f>
        <v>1314.2857142857142</v>
      </c>
      <c r="E21" s="251"/>
      <c r="F21" s="239">
        <v>8</v>
      </c>
      <c r="G21" s="239"/>
      <c r="H21" s="218">
        <f>D21/F21</f>
        <v>164.28571428571428</v>
      </c>
      <c r="I21" s="1">
        <v>2.4</v>
      </c>
      <c r="J21" s="250">
        <f>H21*I21</f>
        <v>394.28571428571428</v>
      </c>
      <c r="K21" s="250"/>
      <c r="L21" s="246">
        <f>J21*F21</f>
        <v>3154.2857142857142</v>
      </c>
      <c r="M21" s="246"/>
      <c r="N21" s="246"/>
      <c r="O21" s="246"/>
      <c r="P21" s="1" t="str">
        <f>B15</f>
        <v>Johan Hugo</v>
      </c>
      <c r="Q21" s="1" t="s">
        <v>150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 s="206"/>
      <c r="L23" s="206"/>
      <c r="M23" s="206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</row>
    <row r="26" spans="1:17" x14ac:dyDescent="0.3">
      <c r="A26" s="5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 s="206"/>
      <c r="E28" s="206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 s="206"/>
      <c r="E30" s="206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 s="206"/>
      <c r="E31" s="206"/>
      <c r="F31" s="206"/>
      <c r="G31"/>
      <c r="H31"/>
      <c r="I31"/>
      <c r="J31"/>
      <c r="K31"/>
      <c r="L31"/>
      <c r="M31"/>
    </row>
    <row r="32" spans="1:17" x14ac:dyDescent="0.3"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</row>
    <row r="33" spans="2:13" x14ac:dyDescent="0.3"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 s="206"/>
      <c r="E35" s="206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 s="206"/>
      <c r="E37" s="206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 s="206"/>
      <c r="L43" s="206"/>
      <c r="M43" s="206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R28"/>
  <sheetViews>
    <sheetView workbookViewId="0">
      <selection activeCell="H13" sqref="H13"/>
    </sheetView>
  </sheetViews>
  <sheetFormatPr defaultRowHeight="15" x14ac:dyDescent="0.25"/>
  <cols>
    <col min="1" max="1" width="6.42578125" customWidth="1"/>
    <col min="3" max="3" width="14.28515625" customWidth="1"/>
    <col min="5" max="5" width="10.85546875" customWidth="1"/>
    <col min="10" max="10" width="20.42578125" customWidth="1"/>
  </cols>
  <sheetData>
    <row r="1" spans="1:13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3" ht="18" thickBot="1" x14ac:dyDescent="0.35">
      <c r="A2" s="213" t="s">
        <v>147</v>
      </c>
      <c r="B2" s="265" t="s">
        <v>148</v>
      </c>
      <c r="C2" s="265"/>
      <c r="D2" s="265"/>
      <c r="E2" s="265"/>
      <c r="F2" s="265"/>
      <c r="G2" s="211"/>
      <c r="H2" s="211"/>
      <c r="I2" s="167"/>
      <c r="J2" s="167"/>
      <c r="K2" s="167"/>
      <c r="L2" s="211"/>
      <c r="M2" s="212"/>
    </row>
    <row r="3" spans="1:13" ht="18" thickBot="1" x14ac:dyDescent="0.35">
      <c r="A3" s="207"/>
      <c r="B3" s="208"/>
      <c r="C3" s="208"/>
      <c r="D3" s="208"/>
      <c r="E3" s="208"/>
      <c r="F3" s="208"/>
      <c r="G3" s="208"/>
      <c r="H3" s="208"/>
      <c r="I3" s="209"/>
      <c r="J3" s="209"/>
      <c r="K3" s="209"/>
      <c r="L3" s="208"/>
      <c r="M3" s="20"/>
    </row>
    <row r="4" spans="1:13" ht="18" thickBot="1" x14ac:dyDescent="0.35">
      <c r="A4" s="263" t="s">
        <v>143</v>
      </c>
      <c r="B4" s="264"/>
      <c r="C4" s="264"/>
      <c r="D4" s="257" t="s">
        <v>133</v>
      </c>
      <c r="E4" s="257"/>
      <c r="F4" s="256" t="s">
        <v>128</v>
      </c>
      <c r="G4" s="256"/>
      <c r="H4" s="256"/>
      <c r="I4" s="256" t="s">
        <v>131</v>
      </c>
      <c r="J4" s="256"/>
      <c r="K4" s="253" t="s">
        <v>129</v>
      </c>
      <c r="L4" s="254"/>
      <c r="M4" s="255"/>
    </row>
    <row r="5" spans="1:13" ht="17.25" x14ac:dyDescent="0.3">
      <c r="A5" s="266">
        <v>124312.5</v>
      </c>
      <c r="B5" s="258"/>
      <c r="C5" s="258"/>
      <c r="D5" s="268">
        <f>A5*0.05</f>
        <v>6215.625</v>
      </c>
      <c r="E5" s="268"/>
      <c r="F5" s="268">
        <f>A5-D5</f>
        <v>118096.875</v>
      </c>
      <c r="G5" s="268"/>
      <c r="H5" s="268"/>
      <c r="I5" s="258">
        <f>F5-K5</f>
        <v>113096.875</v>
      </c>
      <c r="J5" s="258"/>
      <c r="K5" s="259">
        <v>5000</v>
      </c>
      <c r="L5" s="259"/>
      <c r="M5" s="260"/>
    </row>
    <row r="6" spans="1:13" ht="18" thickBot="1" x14ac:dyDescent="0.35">
      <c r="A6" s="214"/>
      <c r="B6" s="215"/>
      <c r="C6" s="215"/>
      <c r="D6" s="215"/>
      <c r="E6" s="216"/>
      <c r="F6" s="215"/>
      <c r="G6" s="208"/>
      <c r="H6" s="208"/>
      <c r="I6" s="215"/>
      <c r="J6" s="215"/>
      <c r="K6" s="215"/>
      <c r="L6" s="208"/>
      <c r="M6" s="20"/>
    </row>
    <row r="7" spans="1:13" ht="18" thickBot="1" x14ac:dyDescent="0.35">
      <c r="A7" s="263" t="s">
        <v>133</v>
      </c>
      <c r="B7" s="264"/>
      <c r="C7" s="264"/>
      <c r="D7" s="261">
        <f>D5</f>
        <v>6215.625</v>
      </c>
      <c r="E7" s="262"/>
      <c r="F7" s="215"/>
      <c r="G7" s="215"/>
      <c r="H7" s="208"/>
      <c r="I7" s="208"/>
      <c r="J7" s="208"/>
      <c r="K7" s="208"/>
      <c r="L7" s="208"/>
      <c r="M7" s="20"/>
    </row>
    <row r="8" spans="1:13" ht="18" thickBot="1" x14ac:dyDescent="0.35">
      <c r="A8" s="263" t="s">
        <v>130</v>
      </c>
      <c r="B8" s="264"/>
      <c r="C8" s="264"/>
      <c r="D8" s="261">
        <f>I5*0.15</f>
        <v>16964.53125</v>
      </c>
      <c r="E8" s="262"/>
      <c r="F8" s="215"/>
      <c r="G8" s="215"/>
      <c r="H8" s="215"/>
      <c r="I8" s="208"/>
      <c r="J8" s="208"/>
      <c r="K8" s="208"/>
      <c r="L8" s="208"/>
      <c r="M8" s="20"/>
    </row>
    <row r="9" spans="1:13" ht="18" thickBot="1" x14ac:dyDescent="0.35">
      <c r="A9" s="267" t="s">
        <v>146</v>
      </c>
      <c r="B9" s="254"/>
      <c r="C9" s="254"/>
      <c r="D9" s="261">
        <f>I5-D8</f>
        <v>96132.34375</v>
      </c>
      <c r="E9" s="262"/>
      <c r="F9" s="217"/>
      <c r="G9" s="217"/>
      <c r="H9" s="217"/>
      <c r="I9" s="21"/>
      <c r="J9" s="21"/>
      <c r="K9" s="21"/>
      <c r="L9" s="21"/>
      <c r="M9" s="210"/>
    </row>
    <row r="11" spans="1:13" ht="15.75" x14ac:dyDescent="0.25">
      <c r="A11" s="220"/>
      <c r="B11" s="221"/>
      <c r="C11" s="221"/>
      <c r="D11" s="221"/>
      <c r="E11" s="221"/>
      <c r="F11" s="221"/>
      <c r="G11" s="222"/>
      <c r="H11" s="222"/>
      <c r="I11" s="222"/>
      <c r="J11" s="222"/>
      <c r="K11" s="222"/>
      <c r="L11" s="222"/>
      <c r="M11" s="222"/>
    </row>
    <row r="12" spans="1:13" ht="17.25" x14ac:dyDescent="0.3">
      <c r="A12" s="222"/>
      <c r="B12" s="223"/>
      <c r="C12" s="223"/>
      <c r="D12" s="224"/>
      <c r="E12" s="224"/>
      <c r="F12" s="224"/>
      <c r="G12" s="222"/>
      <c r="H12" s="222"/>
      <c r="I12" s="223"/>
      <c r="J12" s="223"/>
      <c r="K12" s="223"/>
      <c r="L12" s="223"/>
      <c r="M12" s="223"/>
    </row>
    <row r="13" spans="1:13" ht="17.25" x14ac:dyDescent="0.3">
      <c r="A13" s="225"/>
      <c r="B13" s="225"/>
      <c r="C13" s="225"/>
      <c r="D13" s="225"/>
      <c r="E13" s="225"/>
      <c r="F13" s="226"/>
      <c r="G13" s="226"/>
      <c r="H13" s="226"/>
      <c r="I13" s="226"/>
      <c r="J13" s="226"/>
      <c r="K13" s="226"/>
      <c r="L13" s="226"/>
      <c r="M13" s="226"/>
    </row>
    <row r="14" spans="1:13" ht="17.25" x14ac:dyDescent="0.3">
      <c r="A14" s="227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</row>
    <row r="15" spans="1:13" ht="17.25" x14ac:dyDescent="0.3">
      <c r="A15" s="222"/>
      <c r="B15" s="222"/>
      <c r="C15" s="222"/>
      <c r="D15" s="222"/>
      <c r="E15" s="228"/>
      <c r="F15" s="222"/>
      <c r="G15" s="223"/>
      <c r="H15" s="223"/>
      <c r="I15" s="222"/>
      <c r="J15" s="222"/>
      <c r="K15" s="222"/>
      <c r="L15" s="223"/>
      <c r="M15" s="223"/>
    </row>
    <row r="16" spans="1:13" ht="17.25" x14ac:dyDescent="0.3">
      <c r="A16" s="225"/>
      <c r="B16" s="225"/>
      <c r="C16" s="225"/>
      <c r="D16" s="227"/>
      <c r="E16" s="227"/>
      <c r="F16" s="222"/>
      <c r="G16" s="222"/>
      <c r="H16" s="222"/>
      <c r="I16" s="223"/>
      <c r="J16" s="223"/>
      <c r="K16" s="223"/>
      <c r="L16" s="223"/>
      <c r="M16" s="223"/>
    </row>
    <row r="17" spans="1:18" ht="17.25" x14ac:dyDescent="0.3">
      <c r="A17" s="225"/>
      <c r="B17" s="225"/>
      <c r="C17" s="225"/>
      <c r="D17" s="227"/>
      <c r="E17" s="227"/>
      <c r="F17" s="222"/>
      <c r="G17" s="222"/>
      <c r="H17" s="222"/>
      <c r="I17" s="223"/>
      <c r="J17" s="223"/>
      <c r="K17" s="223"/>
      <c r="L17" s="223"/>
      <c r="M17" s="223"/>
    </row>
    <row r="18" spans="1:18" ht="17.25" x14ac:dyDescent="0.3">
      <c r="A18" s="226"/>
      <c r="B18" s="226"/>
      <c r="C18" s="226"/>
      <c r="D18" s="227"/>
      <c r="E18" s="227"/>
      <c r="F18" s="222"/>
      <c r="G18" s="222"/>
      <c r="H18" s="222"/>
      <c r="I18" s="223"/>
      <c r="J18" s="223"/>
      <c r="K18" s="223"/>
      <c r="L18" s="223"/>
      <c r="M18" s="223"/>
    </row>
    <row r="19" spans="1:18" ht="17.25" x14ac:dyDescent="0.3">
      <c r="A19" s="222"/>
      <c r="B19" s="222"/>
      <c r="C19" s="222"/>
      <c r="D19" s="222"/>
      <c r="E19" s="222"/>
      <c r="F19" s="222"/>
      <c r="G19" s="222"/>
      <c r="H19" s="222"/>
      <c r="I19" s="223"/>
      <c r="J19" s="223"/>
      <c r="K19" s="223"/>
      <c r="L19" s="223"/>
      <c r="M19" s="223"/>
    </row>
    <row r="20" spans="1:18" ht="17.25" x14ac:dyDescent="0.3">
      <c r="A20" s="222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</row>
    <row r="21" spans="1:18" ht="15.75" x14ac:dyDescent="0.25">
      <c r="A21" s="229"/>
      <c r="B21" s="229"/>
      <c r="C21" s="229"/>
      <c r="D21" s="219"/>
      <c r="E21" s="219"/>
      <c r="F21" s="222"/>
      <c r="G21" s="222"/>
      <c r="H21" s="222"/>
      <c r="I21" s="229"/>
      <c r="J21" s="229"/>
      <c r="K21" s="219"/>
      <c r="L21" s="219"/>
      <c r="M21" s="219"/>
    </row>
    <row r="22" spans="1:18" ht="15.75" x14ac:dyDescent="0.25">
      <c r="A22" s="229"/>
      <c r="B22" s="229"/>
      <c r="C22" s="229"/>
      <c r="D22" s="219"/>
      <c r="E22" s="219"/>
      <c r="F22" s="222"/>
      <c r="G22" s="222"/>
      <c r="H22" s="222"/>
      <c r="I22" s="229"/>
      <c r="J22" s="229"/>
      <c r="K22" s="219"/>
      <c r="L22" s="219"/>
      <c r="M22" s="219"/>
    </row>
    <row r="23" spans="1:18" ht="17.25" x14ac:dyDescent="0.3">
      <c r="A23" s="222"/>
      <c r="B23" s="222"/>
      <c r="C23" s="222"/>
      <c r="D23" s="222"/>
      <c r="E23" s="222"/>
      <c r="F23" s="223"/>
      <c r="G23" s="223"/>
      <c r="H23" s="223"/>
      <c r="I23" s="222"/>
      <c r="J23" s="222"/>
      <c r="K23" s="222"/>
      <c r="L23" s="222"/>
      <c r="M23" s="222"/>
    </row>
    <row r="24" spans="1:18" ht="17.25" x14ac:dyDescent="0.3">
      <c r="A24" s="223"/>
      <c r="B24" s="223"/>
      <c r="C24" s="223"/>
      <c r="D24" s="223"/>
      <c r="E24" s="223"/>
      <c r="F24" s="223"/>
      <c r="G24" s="223"/>
      <c r="H24" s="223"/>
      <c r="I24" s="229"/>
      <c r="J24" s="229"/>
      <c r="K24" s="219"/>
      <c r="L24" s="219"/>
      <c r="M24" s="219"/>
    </row>
    <row r="25" spans="1:18" ht="15.75" x14ac:dyDescent="0.25">
      <c r="A25" s="222"/>
      <c r="B25" s="222"/>
      <c r="C25" s="222"/>
      <c r="D25" s="222"/>
      <c r="E25" s="222"/>
      <c r="F25" s="222"/>
      <c r="G25" s="222"/>
      <c r="H25" s="222"/>
      <c r="I25" s="229"/>
      <c r="J25" s="229"/>
      <c r="K25" s="219"/>
      <c r="L25" s="219"/>
      <c r="M25" s="219"/>
    </row>
    <row r="28" spans="1:18" x14ac:dyDescent="0.25">
      <c r="R28" s="165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92"/>
  <sheetViews>
    <sheetView tabSelected="1" topLeftCell="A18" zoomScale="85" zoomScaleNormal="85" workbookViewId="0">
      <selection activeCell="L37" sqref="L37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344"/>
      <c r="B1" s="344"/>
      <c r="C1" s="344"/>
      <c r="D1" s="344"/>
      <c r="E1" s="344"/>
      <c r="F1" s="344"/>
      <c r="G1" s="344"/>
      <c r="H1" s="344"/>
      <c r="I1" s="344"/>
      <c r="J1" s="105"/>
      <c r="K1" s="105"/>
      <c r="L1" s="1"/>
      <c r="M1" s="1"/>
      <c r="N1" s="1"/>
    </row>
    <row r="2" spans="1:14" ht="17.25" x14ac:dyDescent="0.3">
      <c r="A2" s="344"/>
      <c r="B2" s="344"/>
      <c r="C2" s="344"/>
      <c r="D2" s="344"/>
      <c r="E2" s="344"/>
      <c r="F2" s="344"/>
      <c r="G2" s="344"/>
      <c r="H2" s="344"/>
      <c r="I2" s="344"/>
      <c r="J2" s="1"/>
      <c r="K2" s="1"/>
      <c r="L2" s="1"/>
      <c r="M2" s="1"/>
      <c r="N2" s="1"/>
    </row>
    <row r="3" spans="1:14" ht="17.25" x14ac:dyDescent="0.3">
      <c r="A3" s="344"/>
      <c r="B3" s="344"/>
      <c r="C3" s="344"/>
      <c r="D3" s="344"/>
      <c r="E3" s="344"/>
      <c r="F3" s="344"/>
      <c r="G3" s="344"/>
      <c r="H3" s="344"/>
      <c r="I3" s="344"/>
      <c r="J3" s="1"/>
      <c r="K3" s="1"/>
      <c r="L3" s="1"/>
      <c r="M3" s="1"/>
      <c r="N3" s="1"/>
    </row>
    <row r="4" spans="1:14" ht="17.25" x14ac:dyDescent="0.3">
      <c r="A4" s="344"/>
      <c r="B4" s="344"/>
      <c r="C4" s="344"/>
      <c r="D4" s="344"/>
      <c r="E4" s="344"/>
      <c r="F4" s="344"/>
      <c r="G4" s="344"/>
      <c r="H4" s="344"/>
      <c r="I4" s="344"/>
      <c r="J4" s="2"/>
      <c r="K4" s="2"/>
      <c r="L4" s="1"/>
      <c r="M4" s="1"/>
      <c r="N4" s="1"/>
    </row>
    <row r="5" spans="1:14" ht="17.25" x14ac:dyDescent="0.3">
      <c r="A5" s="344"/>
      <c r="B5" s="344"/>
      <c r="C5" s="344"/>
      <c r="D5" s="344"/>
      <c r="E5" s="344"/>
      <c r="F5" s="344"/>
      <c r="G5" s="344"/>
      <c r="H5" s="344"/>
      <c r="I5" s="344"/>
      <c r="J5" s="2"/>
      <c r="K5" s="2"/>
      <c r="L5" s="1"/>
      <c r="M5" s="1"/>
      <c r="N5" s="1"/>
    </row>
    <row r="6" spans="1:14" ht="17.25" x14ac:dyDescent="0.3">
      <c r="A6" s="344"/>
      <c r="B6" s="344"/>
      <c r="C6" s="344"/>
      <c r="D6" s="344"/>
      <c r="E6" s="344"/>
      <c r="F6" s="344"/>
      <c r="G6" s="344"/>
      <c r="H6" s="344"/>
      <c r="I6" s="344"/>
      <c r="J6" s="2"/>
      <c r="K6" s="2"/>
      <c r="L6" s="1"/>
      <c r="M6" s="1"/>
      <c r="N6" s="1"/>
    </row>
    <row r="7" spans="1:14" ht="17.25" x14ac:dyDescent="0.3">
      <c r="A7" s="344"/>
      <c r="B7" s="344"/>
      <c r="C7" s="344"/>
      <c r="D7" s="344"/>
      <c r="E7" s="344"/>
      <c r="F7" s="344"/>
      <c r="G7" s="344"/>
      <c r="H7" s="344"/>
      <c r="I7" s="344"/>
      <c r="J7" s="2"/>
      <c r="K7" s="2"/>
      <c r="L7" s="1"/>
      <c r="M7" s="1"/>
      <c r="N7" s="1"/>
    </row>
    <row r="8" spans="1:14" ht="17.25" x14ac:dyDescent="0.3">
      <c r="A8" s="344"/>
      <c r="B8" s="344"/>
      <c r="C8" s="344"/>
      <c r="D8" s="344"/>
      <c r="E8" s="344"/>
      <c r="F8" s="344"/>
      <c r="G8" s="344"/>
      <c r="H8" s="344"/>
      <c r="I8" s="344"/>
      <c r="J8" s="1"/>
      <c r="K8" s="1"/>
      <c r="L8" s="1"/>
      <c r="M8" s="1"/>
      <c r="N8" s="1"/>
    </row>
    <row r="9" spans="1:14" ht="17.25" x14ac:dyDescent="0.3">
      <c r="A9" s="344"/>
      <c r="B9" s="344"/>
      <c r="C9" s="344"/>
      <c r="D9" s="344"/>
      <c r="E9" s="344"/>
      <c r="F9" s="344"/>
      <c r="G9" s="344"/>
      <c r="H9" s="344"/>
      <c r="I9" s="344"/>
      <c r="J9" s="2"/>
      <c r="K9" s="2"/>
      <c r="L9" s="1"/>
      <c r="M9" s="1"/>
      <c r="N9" s="1"/>
    </row>
    <row r="10" spans="1:14" ht="17.25" x14ac:dyDescent="0.3">
      <c r="A10" s="344"/>
      <c r="B10" s="344"/>
      <c r="C10" s="344"/>
      <c r="D10" s="344"/>
      <c r="E10" s="344"/>
      <c r="F10" s="344"/>
      <c r="G10" s="344"/>
      <c r="H10" s="344"/>
      <c r="I10" s="344"/>
      <c r="J10" s="2"/>
      <c r="K10" s="2"/>
      <c r="L10" s="1"/>
      <c r="M10" s="1"/>
      <c r="N10" s="1"/>
    </row>
    <row r="11" spans="1:14" ht="17.25" x14ac:dyDescent="0.3">
      <c r="A11" s="344"/>
      <c r="B11" s="344"/>
      <c r="C11" s="344"/>
      <c r="D11" s="344"/>
      <c r="E11" s="344"/>
      <c r="F11" s="344"/>
      <c r="G11" s="344"/>
      <c r="H11" s="344"/>
      <c r="I11" s="344"/>
      <c r="J11" s="2"/>
      <c r="K11" s="2"/>
      <c r="L11" s="1"/>
      <c r="M11" s="1"/>
      <c r="N11" s="1"/>
    </row>
    <row r="12" spans="1:14" ht="17.25" x14ac:dyDescent="0.3">
      <c r="A12" s="344"/>
      <c r="B12" s="344"/>
      <c r="C12" s="344"/>
      <c r="D12" s="344"/>
      <c r="E12" s="344"/>
      <c r="F12" s="344"/>
      <c r="G12" s="344"/>
      <c r="H12" s="344"/>
      <c r="I12" s="344"/>
      <c r="J12" s="2"/>
      <c r="K12" s="2"/>
      <c r="L12" s="1"/>
      <c r="M12" s="1"/>
      <c r="N12" s="1"/>
    </row>
    <row r="13" spans="1:14" ht="17.25" x14ac:dyDescent="0.3">
      <c r="A13" s="344"/>
      <c r="B13" s="344"/>
      <c r="C13" s="344"/>
      <c r="D13" s="344"/>
      <c r="E13" s="344"/>
      <c r="F13" s="344"/>
      <c r="G13" s="344"/>
      <c r="H13" s="344"/>
      <c r="I13" s="344"/>
      <c r="J13" s="1"/>
      <c r="K13" s="1"/>
      <c r="L13" s="1"/>
      <c r="M13" s="1"/>
      <c r="N13" s="1"/>
    </row>
    <row r="14" spans="1:14" ht="17.25" x14ac:dyDescent="0.3">
      <c r="A14" s="344"/>
      <c r="B14" s="344"/>
      <c r="C14" s="344"/>
      <c r="D14" s="344"/>
      <c r="E14" s="344"/>
      <c r="F14" s="344"/>
      <c r="G14" s="344"/>
      <c r="H14" s="344"/>
      <c r="I14" s="344"/>
      <c r="J14" s="1"/>
      <c r="K14" s="1"/>
      <c r="L14" s="1"/>
      <c r="M14" s="1"/>
      <c r="N14" s="1"/>
    </row>
    <row r="15" spans="1:14" ht="17.25" x14ac:dyDescent="0.3">
      <c r="A15" s="344"/>
      <c r="B15" s="344"/>
      <c r="C15" s="344"/>
      <c r="D15" s="344"/>
      <c r="E15" s="344"/>
      <c r="F15" s="344"/>
      <c r="G15" s="344"/>
      <c r="H15" s="344"/>
      <c r="I15" s="344"/>
      <c r="J15" s="1"/>
      <c r="K15" s="1"/>
      <c r="L15" s="3"/>
      <c r="M15" s="1"/>
      <c r="N15" s="1"/>
    </row>
    <row r="16" spans="1:14" ht="18" thickBot="1" x14ac:dyDescent="0.35">
      <c r="A16" s="344"/>
      <c r="B16" s="344"/>
      <c r="C16" s="344"/>
      <c r="D16" s="344"/>
      <c r="E16" s="344"/>
      <c r="F16" s="344"/>
      <c r="G16" s="344"/>
      <c r="H16" s="344"/>
      <c r="I16" s="344"/>
      <c r="J16" s="2"/>
      <c r="K16" s="2"/>
      <c r="L16" s="3"/>
      <c r="M16" s="1"/>
      <c r="N16" s="1"/>
    </row>
    <row r="17" spans="1:15" ht="21" thickBot="1" x14ac:dyDescent="0.35">
      <c r="A17" s="345" t="s">
        <v>15</v>
      </c>
      <c r="B17" s="346"/>
      <c r="C17" s="346"/>
      <c r="D17" s="346"/>
      <c r="E17" s="346"/>
      <c r="F17" s="346"/>
      <c r="G17" s="346"/>
      <c r="H17" s="346"/>
      <c r="I17" s="347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26" t="s">
        <v>82</v>
      </c>
      <c r="B19" s="327"/>
      <c r="C19" s="328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29" t="s">
        <v>77</v>
      </c>
      <c r="B20" s="325"/>
      <c r="C20" s="325"/>
      <c r="D20" s="68" t="s">
        <v>79</v>
      </c>
      <c r="E20" s="68" t="s">
        <v>80</v>
      </c>
      <c r="F20" s="68" t="s">
        <v>78</v>
      </c>
      <c r="G20" s="111" t="s">
        <v>24</v>
      </c>
      <c r="H20" s="325" t="s">
        <v>5</v>
      </c>
      <c r="I20" s="325"/>
      <c r="J20" s="1"/>
      <c r="K20" s="1"/>
      <c r="L20" s="1"/>
      <c r="N20" s="3"/>
    </row>
    <row r="21" spans="1:15" ht="18" thickBot="1" x14ac:dyDescent="0.35">
      <c r="A21" s="330" t="s">
        <v>125</v>
      </c>
      <c r="B21" s="331"/>
      <c r="C21" s="114"/>
      <c r="D21" s="114"/>
      <c r="E21" s="120"/>
      <c r="F21" s="121">
        <f>SUM(F22:F25)</f>
        <v>104</v>
      </c>
      <c r="G21" s="158">
        <f>SUM(G22:G25)</f>
        <v>13</v>
      </c>
      <c r="H21" s="332">
        <f>SUM(H22:I25)</f>
        <v>69829.314285714296</v>
      </c>
      <c r="I21" s="333"/>
      <c r="J21" s="1"/>
      <c r="K21" s="290" t="s">
        <v>103</v>
      </c>
      <c r="L21" s="291"/>
      <c r="M21" s="292"/>
      <c r="N21" s="182">
        <f>G27+G21</f>
        <v>31.5</v>
      </c>
    </row>
    <row r="22" spans="1:15" ht="18" thickBot="1" x14ac:dyDescent="0.35">
      <c r="A22" s="136"/>
      <c r="B22" s="135"/>
      <c r="C22" s="43" t="s">
        <v>23</v>
      </c>
      <c r="D22" s="146" t="s">
        <v>149</v>
      </c>
      <c r="E22" s="161">
        <f>IF(D22="Dewald",ROUNDUP(625,1),Employees!$J$19)</f>
        <v>671.43571428571431</v>
      </c>
      <c r="F22" s="147">
        <v>0</v>
      </c>
      <c r="G22" s="159">
        <f>F22/8</f>
        <v>0</v>
      </c>
      <c r="H22" s="334">
        <f>F22*E22</f>
        <v>0</v>
      </c>
      <c r="I22" s="334"/>
      <c r="J22" s="1"/>
      <c r="N22" s="3"/>
    </row>
    <row r="23" spans="1:15" ht="18" thickBot="1" x14ac:dyDescent="0.35">
      <c r="A23" s="336" t="s">
        <v>160</v>
      </c>
      <c r="B23" s="336"/>
      <c r="C23" s="112" t="s">
        <v>23</v>
      </c>
      <c r="D23" s="160" t="s">
        <v>149</v>
      </c>
      <c r="E23" s="92">
        <f>IF(D23="Dewald",ROUNDUP(625,1),Employees!$J$19)</f>
        <v>671.43571428571431</v>
      </c>
      <c r="F23" s="162">
        <f>G23*8</f>
        <v>40</v>
      </c>
      <c r="G23" s="113">
        <v>5</v>
      </c>
      <c r="H23" s="337">
        <f>F23*E23</f>
        <v>26857.428571428572</v>
      </c>
      <c r="I23" s="338"/>
      <c r="J23" s="1"/>
      <c r="K23" s="293" t="s">
        <v>121</v>
      </c>
      <c r="L23" s="294"/>
      <c r="M23" s="295"/>
      <c r="N23" s="183">
        <f>H35/N21</f>
        <v>4104.5142857142864</v>
      </c>
      <c r="O23" s="165"/>
    </row>
    <row r="24" spans="1:15" ht="17.25" x14ac:dyDescent="0.3">
      <c r="A24" s="279" t="s">
        <v>120</v>
      </c>
      <c r="B24" s="279"/>
      <c r="C24" s="49" t="s">
        <v>23</v>
      </c>
      <c r="D24" s="148" t="s">
        <v>149</v>
      </c>
      <c r="E24" s="92">
        <f>IF(D24="Dewald",ROUNDUP(625,1),Employees!$J$19)</f>
        <v>671.43571428571431</v>
      </c>
      <c r="F24" s="148">
        <f>G24*8</f>
        <v>48</v>
      </c>
      <c r="G24" s="113">
        <v>6</v>
      </c>
      <c r="H24" s="339">
        <f>F24*E24</f>
        <v>32228.914285714287</v>
      </c>
      <c r="I24" s="340"/>
      <c r="J24" s="1"/>
      <c r="N24" s="169"/>
    </row>
    <row r="25" spans="1:15" ht="18" thickBot="1" x14ac:dyDescent="0.35">
      <c r="A25" s="4" t="s">
        <v>159</v>
      </c>
      <c r="B25" s="4"/>
      <c r="C25" s="1" t="s">
        <v>23</v>
      </c>
      <c r="D25" s="148" t="s">
        <v>149</v>
      </c>
      <c r="E25" s="92">
        <f>IF(D25="Dewald",ROUNDUP(625,1),Employees!$J$19)</f>
        <v>671.43571428571431</v>
      </c>
      <c r="F25" s="230">
        <f>G25*8</f>
        <v>16</v>
      </c>
      <c r="G25" s="113">
        <v>2</v>
      </c>
      <c r="H25" s="339">
        <f>F25*E25</f>
        <v>10742.971428571429</v>
      </c>
      <c r="I25" s="340"/>
      <c r="J25" s="1"/>
    </row>
    <row r="26" spans="1:15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  <c r="K26" s="177" t="s">
        <v>143</v>
      </c>
      <c r="L26" s="179" t="s">
        <v>133</v>
      </c>
      <c r="M26" s="180" t="s">
        <v>128</v>
      </c>
      <c r="N26" s="181" t="s">
        <v>131</v>
      </c>
      <c r="O26" s="178" t="s">
        <v>129</v>
      </c>
    </row>
    <row r="27" spans="1:15" ht="18" thickBot="1" x14ac:dyDescent="0.35">
      <c r="A27" s="341" t="s">
        <v>124</v>
      </c>
      <c r="B27" s="342"/>
      <c r="C27" s="110"/>
      <c r="D27" s="110"/>
      <c r="E27" s="110"/>
      <c r="F27" s="123">
        <f>SUM(F28:F31)</f>
        <v>148</v>
      </c>
      <c r="G27" s="123">
        <f>SUM(G28:G31)</f>
        <v>18.5</v>
      </c>
      <c r="H27" s="332">
        <f>SUM(H28:I30)</f>
        <v>59462.885714285716</v>
      </c>
      <c r="I27" s="255"/>
      <c r="J27" s="1"/>
      <c r="K27" s="184">
        <f>H35</f>
        <v>129292.20000000001</v>
      </c>
      <c r="L27" s="90">
        <f>K27*0.05</f>
        <v>6464.6100000000006</v>
      </c>
      <c r="M27" s="90">
        <f>K27-L27</f>
        <v>122827.59000000001</v>
      </c>
      <c r="N27" s="184">
        <f>M27-O27</f>
        <v>71649.427500000005</v>
      </c>
      <c r="O27" s="186">
        <f>M27/2.4</f>
        <v>51178.162500000006</v>
      </c>
    </row>
    <row r="28" spans="1:15" ht="18" thickBot="1" x14ac:dyDescent="0.35">
      <c r="A28" s="343"/>
      <c r="B28" s="343"/>
      <c r="C28" s="164"/>
      <c r="D28" s="162" t="s">
        <v>149</v>
      </c>
      <c r="E28" s="160">
        <f>IF(D28="Dewald",ROUNDUP(625,1),Employees!$J$19)</f>
        <v>671.43571428571431</v>
      </c>
      <c r="F28" s="23">
        <v>0</v>
      </c>
      <c r="G28" s="113">
        <v>0</v>
      </c>
      <c r="H28" s="323">
        <f>F28*E28</f>
        <v>0</v>
      </c>
      <c r="I28" s="324"/>
      <c r="J28" s="1"/>
      <c r="N28" s="169"/>
    </row>
    <row r="29" spans="1:15" ht="18" thickBot="1" x14ac:dyDescent="0.35">
      <c r="A29" s="343" t="s">
        <v>157</v>
      </c>
      <c r="B29" s="343"/>
      <c r="C29" s="23" t="s">
        <v>158</v>
      </c>
      <c r="D29" s="162" t="s">
        <v>151</v>
      </c>
      <c r="E29" s="160">
        <f>Employees!J21</f>
        <v>394.28571428571428</v>
      </c>
      <c r="F29" s="23">
        <f>G29*8</f>
        <v>144</v>
      </c>
      <c r="G29" s="113">
        <v>18</v>
      </c>
      <c r="H29" s="323">
        <f>F29*E29</f>
        <v>56777.142857142855</v>
      </c>
      <c r="I29" s="324"/>
      <c r="J29" s="1"/>
      <c r="K29" s="176" t="s">
        <v>130</v>
      </c>
      <c r="L29" s="167"/>
      <c r="M29" s="167"/>
      <c r="N29" s="185">
        <f>N27*0.15</f>
        <v>10747.414125000001</v>
      </c>
    </row>
    <row r="30" spans="1:15" ht="18" thickBot="1" x14ac:dyDescent="0.35">
      <c r="A30" s="279" t="s">
        <v>127</v>
      </c>
      <c r="B30" s="279"/>
      <c r="C30" s="49"/>
      <c r="D30" s="162" t="s">
        <v>149</v>
      </c>
      <c r="E30" s="160">
        <f>IF(D30="Dewald",ROUNDUP(625,1),Employees!$J$19)</f>
        <v>671.43571428571431</v>
      </c>
      <c r="F30" s="23">
        <f>G30*8</f>
        <v>4</v>
      </c>
      <c r="G30" s="113">
        <v>0.5</v>
      </c>
      <c r="H30" s="323">
        <f>F30*E30</f>
        <v>2685.7428571428572</v>
      </c>
      <c r="I30" s="324"/>
      <c r="J30" s="1"/>
      <c r="L30" s="145"/>
      <c r="M30" s="165"/>
      <c r="N30" s="169"/>
    </row>
    <row r="31" spans="1:15" ht="18" thickBot="1" x14ac:dyDescent="0.35">
      <c r="A31" s="128"/>
      <c r="B31" s="128"/>
      <c r="C31" s="49"/>
      <c r="D31" s="49"/>
      <c r="E31" s="160"/>
      <c r="F31" s="49"/>
      <c r="G31" s="109"/>
      <c r="H31" s="335"/>
      <c r="I31" s="335"/>
      <c r="J31" s="1"/>
      <c r="K31" s="175" t="s">
        <v>132</v>
      </c>
      <c r="L31" s="167"/>
      <c r="M31" s="167"/>
      <c r="N31" s="185">
        <f>N27-N29</f>
        <v>60902.013375000002</v>
      </c>
    </row>
    <row r="32" spans="1:15" ht="17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65"/>
      <c r="N32" s="169"/>
    </row>
    <row r="33" spans="1:14" ht="18" x14ac:dyDescent="0.3">
      <c r="A33" s="116"/>
      <c r="B33" s="116"/>
      <c r="D33" s="163"/>
      <c r="E33" s="163" t="s">
        <v>123</v>
      </c>
      <c r="F33" s="319" t="str">
        <f xml:space="preserve"> IF(H27=0,"Phase 1", "Phase 1 - 2")</f>
        <v>Phase 1 - 2</v>
      </c>
      <c r="G33" s="319"/>
      <c r="H33" s="249">
        <f>H27+H21</f>
        <v>129292.20000000001</v>
      </c>
      <c r="I33" s="239"/>
      <c r="J33" s="1"/>
      <c r="K33" s="1"/>
      <c r="L33" s="1"/>
      <c r="M33" s="1"/>
      <c r="N33" s="90"/>
    </row>
    <row r="34" spans="1:14" ht="18.75" thickBot="1" x14ac:dyDescent="0.35">
      <c r="A34" s="116"/>
      <c r="B34" s="116"/>
      <c r="C34" s="116"/>
      <c r="E34" s="163" t="s">
        <v>122</v>
      </c>
      <c r="F34" s="320">
        <v>0</v>
      </c>
      <c r="G34" s="320"/>
      <c r="H34" s="249">
        <f>H33*F34</f>
        <v>0</v>
      </c>
      <c r="I34" s="239"/>
      <c r="J34" s="1"/>
    </row>
    <row r="35" spans="1:14" ht="19.5" thickBot="1" x14ac:dyDescent="0.35">
      <c r="A35" s="1"/>
      <c r="B35" s="1"/>
      <c r="C35" s="1"/>
      <c r="D35" s="1"/>
      <c r="F35" s="321" t="s">
        <v>93</v>
      </c>
      <c r="G35" s="322"/>
      <c r="H35" s="317">
        <f>H33-H34</f>
        <v>129292.20000000001</v>
      </c>
      <c r="I35" s="318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N36" s="1"/>
    </row>
    <row r="37" spans="1:14" ht="17.25" x14ac:dyDescent="0.3">
      <c r="A37" s="126"/>
      <c r="B37" s="126"/>
      <c r="C37" s="126"/>
      <c r="D37" s="126"/>
      <c r="E37" s="126"/>
      <c r="F37" s="126"/>
      <c r="G37" s="126"/>
      <c r="H37" s="126"/>
      <c r="I37" s="126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8.75" x14ac:dyDescent="0.3">
      <c r="A40" s="326" t="s">
        <v>95</v>
      </c>
      <c r="B40" s="327"/>
      <c r="C40" s="328"/>
      <c r="D40" s="1"/>
      <c r="E40" s="3" t="s">
        <v>86</v>
      </c>
      <c r="F40" s="1"/>
      <c r="G40" s="1"/>
      <c r="H40" s="1"/>
      <c r="I40" s="1"/>
      <c r="M40" s="1"/>
      <c r="N40" s="1"/>
    </row>
    <row r="41" spans="1:14" ht="18" thickBot="1" x14ac:dyDescent="0.35">
      <c r="A41" s="329" t="s">
        <v>77</v>
      </c>
      <c r="B41" s="325"/>
      <c r="C41" s="325"/>
      <c r="D41" s="68" t="s">
        <v>79</v>
      </c>
      <c r="E41" s="68" t="s">
        <v>94</v>
      </c>
      <c r="F41" s="68" t="s">
        <v>96</v>
      </c>
      <c r="G41" s="111"/>
      <c r="H41" s="325" t="s">
        <v>5</v>
      </c>
      <c r="I41" s="325"/>
      <c r="M41" s="6"/>
      <c r="N41" s="165"/>
    </row>
    <row r="42" spans="1:14" ht="18" thickBot="1" x14ac:dyDescent="0.35">
      <c r="A42" s="330" t="s">
        <v>126</v>
      </c>
      <c r="B42" s="331"/>
      <c r="C42" s="114"/>
      <c r="D42" s="114"/>
      <c r="E42" s="120"/>
      <c r="F42" s="121" t="s">
        <v>115</v>
      </c>
      <c r="G42" s="122" t="s">
        <v>101</v>
      </c>
      <c r="H42" s="332">
        <f>SUM(H43:I45)</f>
        <v>81000</v>
      </c>
      <c r="I42" s="333"/>
    </row>
    <row r="43" spans="1:14" ht="17.25" x14ac:dyDescent="0.3">
      <c r="A43" s="352" t="s">
        <v>153</v>
      </c>
      <c r="B43" s="352"/>
      <c r="C43" s="6"/>
      <c r="D43" s="6" t="s">
        <v>149</v>
      </c>
      <c r="E43" s="6">
        <v>90</v>
      </c>
      <c r="F43" s="1">
        <v>450</v>
      </c>
      <c r="G43" s="107">
        <v>0</v>
      </c>
      <c r="H43" s="252">
        <f t="shared" ref="H43" si="0">F43*E43</f>
        <v>40500</v>
      </c>
      <c r="I43" s="252"/>
      <c r="K43" s="6"/>
      <c r="L43" s="6"/>
      <c r="N43" s="1"/>
    </row>
    <row r="44" spans="1:14" ht="17.25" x14ac:dyDescent="0.3">
      <c r="A44" s="145" t="s">
        <v>154</v>
      </c>
      <c r="B44" s="145"/>
      <c r="C44" s="6"/>
      <c r="D44" s="6" t="s">
        <v>149</v>
      </c>
      <c r="E44" s="6">
        <v>90</v>
      </c>
      <c r="F44" s="1">
        <v>450</v>
      </c>
      <c r="G44" s="107"/>
      <c r="H44" s="252">
        <f t="shared" ref="H44" si="1">F44*E44</f>
        <v>40500</v>
      </c>
      <c r="I44" s="252"/>
      <c r="M44" s="1"/>
      <c r="N44" s="1"/>
    </row>
    <row r="45" spans="1:14" ht="17.25" x14ac:dyDescent="0.3">
      <c r="A45" s="145"/>
      <c r="B45" s="145"/>
      <c r="C45" s="6"/>
      <c r="D45" s="6"/>
      <c r="E45" s="6"/>
      <c r="F45" s="1"/>
      <c r="G45" s="107"/>
      <c r="H45" s="90"/>
      <c r="I45" s="90"/>
      <c r="L45" s="6"/>
      <c r="M45" s="166"/>
      <c r="N45" s="1"/>
    </row>
    <row r="46" spans="1:14" ht="18" thickBot="1" x14ac:dyDescent="0.35">
      <c r="A46" s="4"/>
      <c r="B46" s="4"/>
      <c r="C46" s="1"/>
      <c r="D46" s="1"/>
      <c r="E46" s="1" t="s">
        <v>4</v>
      </c>
      <c r="F46" s="1">
        <f>SUM(F43:F45)</f>
        <v>900</v>
      </c>
      <c r="G46" s="1">
        <f>SUM(G43:G45)</f>
        <v>0</v>
      </c>
      <c r="H46" s="1"/>
      <c r="I46" s="1"/>
      <c r="L46" s="165"/>
      <c r="M46" s="1"/>
      <c r="N46" s="1"/>
    </row>
    <row r="47" spans="1:14" ht="18" thickBot="1" x14ac:dyDescent="0.35">
      <c r="A47" s="341" t="s">
        <v>124</v>
      </c>
      <c r="B47" s="342"/>
      <c r="C47" s="110"/>
      <c r="D47" s="110"/>
      <c r="E47" s="110"/>
      <c r="F47" s="123"/>
      <c r="G47" s="123"/>
      <c r="H47" s="332">
        <f>H48+H50</f>
        <v>43200</v>
      </c>
      <c r="I47" s="255"/>
      <c r="L47" s="1"/>
      <c r="M47" s="1"/>
      <c r="N47" s="1"/>
    </row>
    <row r="48" spans="1:14" ht="17.25" x14ac:dyDescent="0.3">
      <c r="A48" s="349" t="s">
        <v>157</v>
      </c>
      <c r="B48" s="349"/>
      <c r="C48" s="13"/>
      <c r="D48" s="13" t="s">
        <v>149</v>
      </c>
      <c r="E48" s="43">
        <v>90</v>
      </c>
      <c r="F48" s="13">
        <v>450</v>
      </c>
      <c r="G48" s="115"/>
      <c r="H48" s="350">
        <f>F48*E48</f>
        <v>40500</v>
      </c>
      <c r="I48" s="351"/>
      <c r="L48" s="1"/>
      <c r="M48" s="1"/>
      <c r="N48" s="1"/>
    </row>
    <row r="49" spans="1:14" ht="17.25" x14ac:dyDescent="0.3">
      <c r="A49" s="279"/>
      <c r="B49" s="279"/>
      <c r="C49" s="49"/>
      <c r="D49" s="49" t="s">
        <v>149</v>
      </c>
      <c r="E49" s="51">
        <v>80</v>
      </c>
      <c r="F49" s="49"/>
      <c r="G49" s="109"/>
      <c r="H49" s="280">
        <f>F49*E49</f>
        <v>0</v>
      </c>
      <c r="I49" s="281"/>
      <c r="L49" s="1"/>
      <c r="M49" s="1"/>
      <c r="N49" s="1"/>
    </row>
    <row r="50" spans="1:14" ht="17.25" x14ac:dyDescent="0.3">
      <c r="A50" s="279" t="s">
        <v>127</v>
      </c>
      <c r="B50" s="279"/>
      <c r="C50" s="49"/>
      <c r="D50" s="49" t="s">
        <v>149</v>
      </c>
      <c r="E50" s="51">
        <v>6</v>
      </c>
      <c r="F50" s="49">
        <v>450</v>
      </c>
      <c r="G50" s="109"/>
      <c r="H50" s="280">
        <f>F50*E50</f>
        <v>2700</v>
      </c>
      <c r="I50" s="281"/>
      <c r="L50" s="1"/>
      <c r="M50" s="1"/>
      <c r="N50" s="1"/>
    </row>
    <row r="51" spans="1:14" ht="17.25" x14ac:dyDescent="0.3">
      <c r="A51" s="1"/>
      <c r="B51" s="1"/>
      <c r="C51" s="1"/>
      <c r="D51" s="1"/>
      <c r="E51" s="1"/>
      <c r="F51" s="1"/>
      <c r="G51" s="1"/>
      <c r="H51" s="348"/>
      <c r="I51" s="348"/>
      <c r="L51" s="1"/>
      <c r="M51" s="1"/>
      <c r="N51" s="1"/>
    </row>
    <row r="52" spans="1:14" ht="18" x14ac:dyDescent="0.3">
      <c r="A52" s="116"/>
      <c r="B52" s="116"/>
      <c r="C52" s="116"/>
      <c r="D52" s="319" t="s">
        <v>91</v>
      </c>
      <c r="E52" s="319"/>
      <c r="F52" s="319"/>
      <c r="G52" s="116"/>
      <c r="H52" s="249">
        <f>H47+H42</f>
        <v>124200</v>
      </c>
      <c r="I52" s="239"/>
      <c r="L52" s="1"/>
      <c r="M52" s="1"/>
      <c r="N52" s="1"/>
    </row>
    <row r="53" spans="1:14" ht="18.75" thickBot="1" x14ac:dyDescent="0.35">
      <c r="A53" s="116"/>
      <c r="B53" s="116"/>
      <c r="C53" s="116"/>
      <c r="D53" s="319" t="s">
        <v>92</v>
      </c>
      <c r="E53" s="319"/>
      <c r="F53" s="319"/>
      <c r="G53" s="117">
        <v>0</v>
      </c>
      <c r="H53" s="249">
        <f>H52*G53</f>
        <v>0</v>
      </c>
      <c r="I53" s="239"/>
      <c r="L53" s="6"/>
      <c r="M53" s="5"/>
      <c r="N53" s="1"/>
    </row>
    <row r="54" spans="1:14" ht="19.5" thickBot="1" x14ac:dyDescent="0.35">
      <c r="A54" s="1"/>
      <c r="B54" s="1"/>
      <c r="C54" s="1"/>
      <c r="D54" s="1"/>
      <c r="E54" s="1"/>
      <c r="F54" s="1"/>
      <c r="G54" s="118" t="s">
        <v>93</v>
      </c>
      <c r="H54" s="317">
        <f>H52-H53</f>
        <v>124200</v>
      </c>
      <c r="I54" s="318"/>
      <c r="L54" s="127"/>
      <c r="M54" s="127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14" ht="17.25" x14ac:dyDescent="0.3">
      <c r="A56" s="126"/>
      <c r="B56" s="126"/>
      <c r="C56" s="126"/>
      <c r="D56" s="126"/>
      <c r="E56" s="126"/>
      <c r="F56" s="126"/>
      <c r="G56" s="126"/>
      <c r="H56" s="126"/>
      <c r="I56" s="126"/>
    </row>
    <row r="58" spans="1:14" ht="18" thickBot="1" x14ac:dyDescent="0.35">
      <c r="A58" s="282" t="s">
        <v>87</v>
      </c>
      <c r="B58" s="282"/>
      <c r="C58" s="1"/>
      <c r="D58" s="1"/>
      <c r="E58" s="1"/>
      <c r="F58" s="1"/>
      <c r="G58" s="1"/>
      <c r="H58" s="1"/>
      <c r="I58" s="1"/>
      <c r="J58" s="1"/>
      <c r="K58" s="1"/>
    </row>
    <row r="59" spans="1:14" ht="20.25" thickBot="1" x14ac:dyDescent="0.3">
      <c r="A59" s="283" t="s">
        <v>18</v>
      </c>
      <c r="B59" s="284"/>
      <c r="C59" s="284"/>
      <c r="D59" s="285"/>
      <c r="E59" s="300" t="s">
        <v>20</v>
      </c>
      <c r="F59" s="301"/>
      <c r="G59" s="300" t="s">
        <v>19</v>
      </c>
      <c r="H59" s="301"/>
      <c r="I59" s="73" t="s">
        <v>140</v>
      </c>
    </row>
    <row r="60" spans="1:14" ht="17.25" x14ac:dyDescent="0.3">
      <c r="A60" s="13" t="s">
        <v>155</v>
      </c>
      <c r="B60" s="13" t="s">
        <v>156</v>
      </c>
      <c r="C60" s="13"/>
      <c r="D60" s="13"/>
      <c r="E60" s="83">
        <v>8000</v>
      </c>
      <c r="F60" s="84"/>
      <c r="G60" s="77">
        <v>450</v>
      </c>
      <c r="H60" s="79"/>
      <c r="I60" s="83">
        <f>E60*G60</f>
        <v>3600000</v>
      </c>
    </row>
    <row r="61" spans="1:14" ht="17.25" x14ac:dyDescent="0.3">
      <c r="A61" s="1" t="s">
        <v>135</v>
      </c>
      <c r="B61" s="49"/>
      <c r="C61" s="49"/>
      <c r="D61" s="49"/>
      <c r="E61" s="92">
        <v>0</v>
      </c>
      <c r="F61" s="92"/>
      <c r="G61" s="93">
        <v>0</v>
      </c>
      <c r="H61" s="93"/>
      <c r="I61" s="94">
        <v>300000</v>
      </c>
    </row>
    <row r="62" spans="1:14" ht="17.25" x14ac:dyDescent="0.3">
      <c r="A62" s="1"/>
      <c r="B62" s="1"/>
      <c r="C62" s="1"/>
      <c r="D62" s="1"/>
      <c r="E62" s="90"/>
      <c r="F62" s="90"/>
      <c r="G62" s="3"/>
      <c r="H62" s="3"/>
      <c r="I62" s="90">
        <f>G62*E62</f>
        <v>0</v>
      </c>
    </row>
    <row r="63" spans="1:14" ht="17.25" x14ac:dyDescent="0.3">
      <c r="A63" s="1"/>
      <c r="B63" s="1"/>
      <c r="C63" s="1"/>
      <c r="D63" s="1"/>
      <c r="E63" s="90"/>
      <c r="F63" s="90"/>
      <c r="G63" s="5"/>
      <c r="H63" s="1"/>
      <c r="I63" s="127">
        <f>G63*E63</f>
        <v>0</v>
      </c>
    </row>
    <row r="64" spans="1:14" ht="17.25" x14ac:dyDescent="0.3">
      <c r="A64" s="1"/>
      <c r="B64" s="1"/>
      <c r="C64" s="1"/>
      <c r="D64" s="1"/>
      <c r="E64" s="90"/>
      <c r="F64" s="90"/>
      <c r="G64" s="3"/>
      <c r="H64" s="129"/>
      <c r="I64" s="90">
        <f>G64*E64</f>
        <v>0</v>
      </c>
    </row>
    <row r="65" spans="1:11" ht="18" thickBot="1" x14ac:dyDescent="0.35">
      <c r="A65" s="1"/>
      <c r="B65" s="1"/>
      <c r="C65" s="1"/>
      <c r="D65" s="1"/>
      <c r="E65" s="90"/>
      <c r="F65" s="90"/>
      <c r="G65" s="3"/>
      <c r="H65" s="129"/>
      <c r="I65" s="90">
        <f>G65*E65</f>
        <v>0</v>
      </c>
    </row>
    <row r="66" spans="1:11" ht="18" thickBot="1" x14ac:dyDescent="0.35">
      <c r="A66" s="1"/>
      <c r="B66" s="1"/>
      <c r="C66" s="1"/>
      <c r="D66" s="1"/>
      <c r="E66" s="90"/>
      <c r="F66" s="90" t="s">
        <v>114</v>
      </c>
      <c r="G66" s="95" t="s">
        <v>4</v>
      </c>
      <c r="H66" s="96">
        <f>SUM(G60:G62)</f>
        <v>450</v>
      </c>
      <c r="I66" s="170">
        <f>SUM(I60:I65)</f>
        <v>3900000</v>
      </c>
    </row>
    <row r="67" spans="1:11" ht="15.75" thickBot="1" x14ac:dyDescent="0.3"/>
    <row r="68" spans="1:11" ht="20.25" thickBot="1" x14ac:dyDescent="0.3">
      <c r="A68" s="283" t="s">
        <v>47</v>
      </c>
      <c r="B68" s="284"/>
      <c r="C68" s="284"/>
      <c r="D68" s="284"/>
      <c r="E68" s="286">
        <f>I66</f>
        <v>3900000</v>
      </c>
      <c r="F68" s="287"/>
      <c r="G68" s="287"/>
      <c r="H68" s="287"/>
      <c r="I68" s="288"/>
    </row>
    <row r="69" spans="1:11" ht="17.25" x14ac:dyDescent="0.3">
      <c r="A69" s="273" t="s">
        <v>136</v>
      </c>
      <c r="B69" s="273"/>
      <c r="C69" s="273"/>
      <c r="D69" s="273"/>
      <c r="E69" s="273" t="s">
        <v>137</v>
      </c>
      <c r="F69" s="273"/>
      <c r="G69" s="273"/>
      <c r="H69" s="273"/>
      <c r="I69" s="273"/>
    </row>
    <row r="70" spans="1:11" ht="15.75" thickBot="1" x14ac:dyDescent="0.3"/>
    <row r="71" spans="1:11" ht="20.25" thickBot="1" x14ac:dyDescent="0.3">
      <c r="A71" s="283" t="s">
        <v>56</v>
      </c>
      <c r="B71" s="284"/>
      <c r="C71" s="284"/>
      <c r="D71" s="284"/>
      <c r="E71" s="284"/>
      <c r="F71" s="284"/>
      <c r="G71" s="284"/>
      <c r="H71" s="284"/>
      <c r="I71" s="289"/>
    </row>
    <row r="73" spans="1:11" ht="17.25" x14ac:dyDescent="0.25">
      <c r="A73" s="276" t="s">
        <v>29</v>
      </c>
      <c r="B73" s="277"/>
      <c r="C73" s="277"/>
      <c r="D73" s="278"/>
      <c r="E73" s="298">
        <f>IF($E$69="Medium",IF($E$68&gt;Data!J96,IF($E$68&gt;Data!J97,IF($E$68&gt;Data!J98,IF($E$68&gt;Data!J99,IF($E$68&gt;Data!J100,IF($E$68&gt;Data!J101,IF($E$68&gt;Data!J102,IF($E$68&gt;Data!J103,IF($E$68&gt;Data!J104,IF($E$68&gt;Data!J105,IF($E$68&gt;Data!J106,Data!K107,Data!K106),Data!K105),Data!K104),Data!K103),Data!K102),Data!K101),Data!K100),Data!K99),Data!K98),Data!K97),Data!K96),IF($E$68&gt;Data!J77,IF($E$68&gt;Data!J78,IF($E$68&gt;Data!J79,IF($E$68&gt;Data!J80,IF($E$68&gt;Data!J81,IF($E$68&gt;Data!J82,IF($E$68&gt;Data!J83,IF($E$68&gt;Data!J84,IF($E$68&gt;Data!J85,IF($E$68&gt;Data!J86,IF($E$68&gt;Data!J87,Data!K88,Data!K87),Data!K85),Data!K84),Data!K83),Data!K82),Data!K81),Data!K100),Data!K80),Data!K79),Data!K78),Data!K77))</f>
        <v>306751.8</v>
      </c>
      <c r="F73" s="298"/>
      <c r="G73" s="298"/>
      <c r="H73" s="298"/>
      <c r="I73" s="299"/>
    </row>
    <row r="74" spans="1:11" ht="17.25" x14ac:dyDescent="0.25">
      <c r="A74" s="304" t="s">
        <v>61</v>
      </c>
      <c r="B74" s="305"/>
      <c r="C74" s="305"/>
      <c r="D74" s="306"/>
      <c r="E74" s="249">
        <f>IF($E$69="Medium",($E$68-(VLOOKUP($E$73,Data!K96:M107,3,FALSE)))*(VLOOKUP($E$73,Data!K96:M107,2,FALSE)),($E$68-(VLOOKUP($E$73,Data!K77:M88,3,FALSE)))*(VLOOKUP($E$73,Data!K77:M88,2,FALSE)))</f>
        <v>217739.8854</v>
      </c>
      <c r="F74" s="249"/>
      <c r="G74" s="249"/>
      <c r="H74" s="249"/>
      <c r="I74" s="310"/>
    </row>
    <row r="75" spans="1:11" ht="17.25" x14ac:dyDescent="0.25">
      <c r="A75" s="304"/>
      <c r="B75" s="305"/>
      <c r="C75" s="305"/>
      <c r="D75" s="306"/>
      <c r="E75" s="249">
        <f>E73+E74</f>
        <v>524491.68539999996</v>
      </c>
      <c r="F75" s="249"/>
      <c r="G75" s="249"/>
      <c r="H75" s="249"/>
      <c r="I75" s="310"/>
    </row>
    <row r="76" spans="1:11" ht="17.25" x14ac:dyDescent="0.25">
      <c r="A76" s="304" t="s">
        <v>64</v>
      </c>
      <c r="B76" s="305"/>
      <c r="C76" s="305"/>
      <c r="D76" s="306"/>
      <c r="E76" s="239">
        <v>0</v>
      </c>
      <c r="F76" s="239"/>
      <c r="G76" s="239"/>
      <c r="H76" s="239"/>
      <c r="I76" s="313"/>
    </row>
    <row r="77" spans="1:11" ht="22.5" customHeight="1" x14ac:dyDescent="0.25">
      <c r="A77" s="307" t="s">
        <v>66</v>
      </c>
      <c r="B77" s="308"/>
      <c r="C77" s="308"/>
      <c r="D77" s="309"/>
      <c r="E77" s="311">
        <f>E75+E76</f>
        <v>524491.68539999996</v>
      </c>
      <c r="F77" s="311"/>
      <c r="G77" s="311"/>
      <c r="H77" s="311"/>
      <c r="I77" s="312"/>
    </row>
    <row r="78" spans="1:11" ht="15.75" thickBot="1" x14ac:dyDescent="0.3"/>
    <row r="79" spans="1:11" ht="19.5" thickBot="1" x14ac:dyDescent="0.35">
      <c r="A79" s="314" t="s">
        <v>48</v>
      </c>
      <c r="B79" s="315"/>
      <c r="C79" s="315"/>
      <c r="D79" s="316"/>
      <c r="E79" s="194" t="s">
        <v>49</v>
      </c>
      <c r="F79" s="195" t="s">
        <v>50</v>
      </c>
      <c r="G79" s="269" t="s">
        <v>51</v>
      </c>
      <c r="H79" s="296"/>
      <c r="I79" s="195" t="s">
        <v>52</v>
      </c>
    </row>
    <row r="80" spans="1:11" ht="17.25" x14ac:dyDescent="0.3">
      <c r="A80" s="187" t="s">
        <v>54</v>
      </c>
      <c r="B80" s="273" t="s">
        <v>55</v>
      </c>
      <c r="C80" s="273"/>
      <c r="D80" s="273"/>
      <c r="E80" s="188">
        <v>0.4</v>
      </c>
      <c r="F80" s="140">
        <f>$E$77*E80</f>
        <v>209796.67416</v>
      </c>
      <c r="G80" s="297">
        <v>0</v>
      </c>
      <c r="H80" s="297"/>
      <c r="I80" s="189">
        <f>IF(G80=0,F80,F80-(F80*G80))</f>
        <v>209796.67416</v>
      </c>
      <c r="K80" s="6"/>
    </row>
    <row r="81" spans="1:13" ht="17.25" x14ac:dyDescent="0.3">
      <c r="A81" s="190" t="s">
        <v>57</v>
      </c>
      <c r="B81" s="251" t="s">
        <v>58</v>
      </c>
      <c r="C81" s="251"/>
      <c r="D81" s="251"/>
      <c r="E81" s="191">
        <v>0.2</v>
      </c>
      <c r="F81" s="6">
        <f>$E$77*E81</f>
        <v>104898.33708</v>
      </c>
      <c r="G81" s="302">
        <v>0</v>
      </c>
      <c r="H81" s="302"/>
      <c r="I81" s="152">
        <f>IF(G81=0,F81,F81-(F81*G81))</f>
        <v>104898.33708</v>
      </c>
      <c r="K81" s="6"/>
      <c r="L81" s="165"/>
      <c r="M81" s="165"/>
    </row>
    <row r="82" spans="1:13" ht="17.25" x14ac:dyDescent="0.3">
      <c r="A82" s="190" t="s">
        <v>75</v>
      </c>
      <c r="B82" s="251" t="s">
        <v>59</v>
      </c>
      <c r="C82" s="251"/>
      <c r="D82" s="251"/>
      <c r="E82" s="191">
        <v>0.1</v>
      </c>
      <c r="F82" s="6">
        <f>$E$77*E82</f>
        <v>52449.168539999999</v>
      </c>
      <c r="G82" s="302">
        <v>1</v>
      </c>
      <c r="H82" s="302"/>
      <c r="I82" s="152">
        <f>IF(G82=0,F82,F82-(F82*G82))</f>
        <v>0</v>
      </c>
      <c r="K82" s="6"/>
      <c r="L82" s="165"/>
      <c r="M82" s="165"/>
    </row>
    <row r="83" spans="1:13" ht="18" thickBot="1" x14ac:dyDescent="0.35">
      <c r="A83" s="192" t="s">
        <v>62</v>
      </c>
      <c r="B83" s="275" t="s">
        <v>63</v>
      </c>
      <c r="C83" s="275"/>
      <c r="D83" s="275"/>
      <c r="E83" s="193">
        <v>0.3</v>
      </c>
      <c r="F83" s="150">
        <f>$E$77*E83</f>
        <v>157347.50561999998</v>
      </c>
      <c r="G83" s="303">
        <v>1</v>
      </c>
      <c r="H83" s="303"/>
      <c r="I83" s="151">
        <f>IF(G83=0,F83,F83-(F83*G83))</f>
        <v>0</v>
      </c>
      <c r="K83" s="6"/>
      <c r="L83" s="165"/>
      <c r="M83" s="165"/>
    </row>
    <row r="84" spans="1:13" ht="18" thickBot="1" x14ac:dyDescent="0.35">
      <c r="A84" s="1"/>
      <c r="B84" s="1"/>
      <c r="C84" s="1"/>
      <c r="F84" s="1"/>
      <c r="G84" s="273"/>
      <c r="H84" s="273"/>
      <c r="I84" s="1"/>
    </row>
    <row r="85" spans="1:13" ht="19.5" thickBot="1" x14ac:dyDescent="0.35">
      <c r="A85" s="1"/>
      <c r="B85" s="1"/>
      <c r="C85" s="1"/>
      <c r="F85" s="269" t="s">
        <v>145</v>
      </c>
      <c r="G85" s="270"/>
      <c r="H85" s="270"/>
      <c r="I85" s="201">
        <f>I86*(1-(SUM(I80:I83)/I86))</f>
        <v>209796.67415999994</v>
      </c>
      <c r="K85" s="199"/>
    </row>
    <row r="86" spans="1:13" ht="19.5" thickBot="1" x14ac:dyDescent="0.35">
      <c r="B86" s="196"/>
      <c r="C86" s="196"/>
      <c r="F86" s="269" t="s">
        <v>65</v>
      </c>
      <c r="G86" s="270"/>
      <c r="H86" s="270"/>
      <c r="I86" s="201">
        <f>SUM(F80:F83)</f>
        <v>524491.68539999996</v>
      </c>
    </row>
    <row r="87" spans="1:13" ht="15.75" thickBot="1" x14ac:dyDescent="0.3"/>
    <row r="88" spans="1:13" ht="18.75" thickBot="1" x14ac:dyDescent="0.3">
      <c r="F88" s="271" t="s">
        <v>144</v>
      </c>
      <c r="G88" s="272"/>
      <c r="H88" s="272"/>
      <c r="I88" s="197">
        <f>I86-I85</f>
        <v>314695.01124000002</v>
      </c>
      <c r="L88" s="200"/>
    </row>
    <row r="89" spans="1:13" x14ac:dyDescent="0.25">
      <c r="L89" s="198"/>
    </row>
    <row r="90" spans="1:13" x14ac:dyDescent="0.25">
      <c r="D90" s="274"/>
      <c r="E90" s="274"/>
    </row>
    <row r="91" spans="1:13" x14ac:dyDescent="0.25">
      <c r="D91" s="274"/>
      <c r="E91" s="274"/>
    </row>
    <row r="92" spans="1:13" x14ac:dyDescent="0.25">
      <c r="D92" s="274"/>
      <c r="E92" s="274"/>
    </row>
  </sheetData>
  <mergeCells count="88">
    <mergeCell ref="A1:I16"/>
    <mergeCell ref="A17:I17"/>
    <mergeCell ref="H44:I44"/>
    <mergeCell ref="H51:I51"/>
    <mergeCell ref="D52:F52"/>
    <mergeCell ref="H52:I52"/>
    <mergeCell ref="A47:B47"/>
    <mergeCell ref="H47:I47"/>
    <mergeCell ref="A48:B48"/>
    <mergeCell ref="H48:I48"/>
    <mergeCell ref="A49:B49"/>
    <mergeCell ref="H49:I49"/>
    <mergeCell ref="A43:B43"/>
    <mergeCell ref="A19:C19"/>
    <mergeCell ref="A20:C20"/>
    <mergeCell ref="A29:B29"/>
    <mergeCell ref="A30:B30"/>
    <mergeCell ref="H30:I30"/>
    <mergeCell ref="A23:B23"/>
    <mergeCell ref="H23:I23"/>
    <mergeCell ref="A24:B24"/>
    <mergeCell ref="H24:I24"/>
    <mergeCell ref="A27:B27"/>
    <mergeCell ref="H27:I27"/>
    <mergeCell ref="A28:B28"/>
    <mergeCell ref="H25:I25"/>
    <mergeCell ref="H20:I20"/>
    <mergeCell ref="H54:I54"/>
    <mergeCell ref="H43:I43"/>
    <mergeCell ref="A40:C40"/>
    <mergeCell ref="A41:C41"/>
    <mergeCell ref="D53:F53"/>
    <mergeCell ref="H53:I53"/>
    <mergeCell ref="H41:I41"/>
    <mergeCell ref="A21:B21"/>
    <mergeCell ref="H21:I21"/>
    <mergeCell ref="H22:I22"/>
    <mergeCell ref="A42:B42"/>
    <mergeCell ref="H42:I42"/>
    <mergeCell ref="H31:I31"/>
    <mergeCell ref="H33:I33"/>
    <mergeCell ref="H34:I34"/>
    <mergeCell ref="G81:H81"/>
    <mergeCell ref="G82:H82"/>
    <mergeCell ref="G83:H83"/>
    <mergeCell ref="B80:D80"/>
    <mergeCell ref="A74:D74"/>
    <mergeCell ref="A75:D75"/>
    <mergeCell ref="A76:D76"/>
    <mergeCell ref="A77:D77"/>
    <mergeCell ref="E74:I74"/>
    <mergeCell ref="E75:I75"/>
    <mergeCell ref="E77:I77"/>
    <mergeCell ref="E76:I76"/>
    <mergeCell ref="A79:D79"/>
    <mergeCell ref="K21:M21"/>
    <mergeCell ref="K23:M23"/>
    <mergeCell ref="G79:H79"/>
    <mergeCell ref="G80:H80"/>
    <mergeCell ref="E73:I73"/>
    <mergeCell ref="E59:F59"/>
    <mergeCell ref="G59:H59"/>
    <mergeCell ref="H35:I35"/>
    <mergeCell ref="F33:G33"/>
    <mergeCell ref="F34:G34"/>
    <mergeCell ref="F35:G35"/>
    <mergeCell ref="H28:I28"/>
    <mergeCell ref="H29:I29"/>
    <mergeCell ref="A73:D73"/>
    <mergeCell ref="A50:B50"/>
    <mergeCell ref="H50:I50"/>
    <mergeCell ref="A58:B58"/>
    <mergeCell ref="A59:D59"/>
    <mergeCell ref="A69:D69"/>
    <mergeCell ref="A68:D68"/>
    <mergeCell ref="E68:I68"/>
    <mergeCell ref="E69:I69"/>
    <mergeCell ref="A71:I71"/>
    <mergeCell ref="D91:E91"/>
    <mergeCell ref="D92:E92"/>
    <mergeCell ref="B81:D81"/>
    <mergeCell ref="B82:D82"/>
    <mergeCell ref="B83:D83"/>
    <mergeCell ref="F85:H85"/>
    <mergeCell ref="F86:H86"/>
    <mergeCell ref="F88:H88"/>
    <mergeCell ref="G84:H84"/>
    <mergeCell ref="D90:E90"/>
  </mergeCells>
  <dataValidations disablePrompts="1" count="1">
    <dataValidation type="list" allowBlank="1" showInputMessage="1" showErrorMessage="1" sqref="E69" xr:uid="{A7818786-B2B9-4291-9E11-4930828A1787}">
      <formula1>"Medium,High"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44"/>
      <c r="B2" s="344"/>
      <c r="C2" s="344"/>
      <c r="D2" s="344"/>
      <c r="E2" s="344"/>
      <c r="H2" s="282" t="s">
        <v>87</v>
      </c>
      <c r="I2" s="282"/>
    </row>
    <row r="3" spans="1:19" ht="21" thickBot="1" x14ac:dyDescent="0.35">
      <c r="A3" s="344"/>
      <c r="B3" s="344"/>
      <c r="C3" s="344"/>
      <c r="D3" s="344"/>
      <c r="E3" s="344"/>
      <c r="H3" s="283" t="s">
        <v>18</v>
      </c>
      <c r="I3" s="284"/>
      <c r="J3" s="284"/>
      <c r="K3" s="285"/>
      <c r="L3" s="300" t="s">
        <v>20</v>
      </c>
      <c r="M3" s="301"/>
      <c r="N3" s="300" t="s">
        <v>19</v>
      </c>
      <c r="O3" s="301"/>
      <c r="P3" s="300" t="s">
        <v>21</v>
      </c>
      <c r="Q3" s="369"/>
      <c r="R3" s="370"/>
    </row>
    <row r="4" spans="1:19" x14ac:dyDescent="0.3">
      <c r="A4" s="344"/>
      <c r="B4" s="344"/>
      <c r="C4" s="344"/>
      <c r="D4" s="344"/>
      <c r="E4" s="344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44"/>
      <c r="B5" s="344"/>
      <c r="C5" s="344"/>
      <c r="D5" s="344"/>
      <c r="E5" s="344"/>
      <c r="H5" s="1" t="s">
        <v>135</v>
      </c>
      <c r="I5" s="49" t="s">
        <v>134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44"/>
      <c r="B6" s="344"/>
      <c r="C6" s="344"/>
      <c r="D6" s="344"/>
      <c r="E6" s="344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44"/>
      <c r="B7" s="344"/>
      <c r="C7" s="344"/>
      <c r="D7" s="344"/>
      <c r="E7" s="344"/>
      <c r="L7" s="90"/>
      <c r="M7" s="90"/>
      <c r="N7" s="5"/>
      <c r="P7" s="127">
        <f>N7*L7</f>
        <v>0</v>
      </c>
    </row>
    <row r="8" spans="1:19" x14ac:dyDescent="0.3">
      <c r="A8" s="344"/>
      <c r="B8" s="344"/>
      <c r="C8" s="344"/>
      <c r="D8" s="344"/>
      <c r="E8" s="344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44"/>
      <c r="B9" s="344"/>
      <c r="C9" s="344"/>
      <c r="D9" s="344"/>
      <c r="E9" s="344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44"/>
      <c r="B10" s="344"/>
      <c r="C10" s="344"/>
      <c r="D10" s="344"/>
      <c r="E10" s="344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44"/>
      <c r="B11" s="344"/>
      <c r="C11" s="344"/>
      <c r="D11" s="344"/>
      <c r="E11" s="344"/>
    </row>
    <row r="12" spans="1:19" ht="21" thickBot="1" x14ac:dyDescent="0.35">
      <c r="A12" s="344"/>
      <c r="B12" s="344"/>
      <c r="C12" s="344"/>
      <c r="D12" s="344"/>
      <c r="E12" s="344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44"/>
      <c r="B13" s="344"/>
      <c r="C13" s="344"/>
      <c r="D13" s="344"/>
      <c r="E13" s="344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44"/>
      <c r="B14" s="344"/>
      <c r="C14" s="344"/>
      <c r="D14" s="344"/>
      <c r="E14" s="344"/>
    </row>
    <row r="15" spans="1:19" ht="21" thickBot="1" x14ac:dyDescent="0.35">
      <c r="A15" s="344"/>
      <c r="B15" s="344"/>
      <c r="C15" s="344"/>
      <c r="D15" s="344"/>
      <c r="E15" s="344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44"/>
      <c r="B16" s="344"/>
      <c r="C16" s="344"/>
      <c r="D16" s="344"/>
      <c r="E16" s="344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64"/>
      <c r="B17" s="364"/>
      <c r="C17" s="364"/>
      <c r="D17" s="364"/>
      <c r="E17" s="364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45" t="s">
        <v>15</v>
      </c>
      <c r="B18" s="346"/>
      <c r="C18" s="346"/>
      <c r="D18" s="346"/>
      <c r="E18" s="347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72" t="s">
        <v>97</v>
      </c>
      <c r="B19" s="372"/>
      <c r="C19" s="372"/>
      <c r="D19" s="372"/>
      <c r="E19" s="372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376" t="s">
        <v>16</v>
      </c>
      <c r="B20" s="377"/>
      <c r="C20" s="377"/>
      <c r="D20" s="378"/>
      <c r="E20" s="119" t="s">
        <v>74</v>
      </c>
      <c r="F20" s="89">
        <v>150</v>
      </c>
      <c r="G20" s="1" t="s">
        <v>17</v>
      </c>
      <c r="H20" s="326" t="s">
        <v>82</v>
      </c>
      <c r="I20" s="327"/>
      <c r="J20" s="328"/>
      <c r="L20" s="3" t="s">
        <v>86</v>
      </c>
    </row>
    <row r="21" spans="1:21" ht="18" customHeight="1" thickBot="1" x14ac:dyDescent="0.35">
      <c r="A21" s="373" t="s">
        <v>71</v>
      </c>
      <c r="B21" s="374"/>
      <c r="C21" s="374"/>
      <c r="D21" s="375"/>
      <c r="E21" s="12" t="s">
        <v>4</v>
      </c>
      <c r="F21" s="89">
        <f>E22</f>
        <v>0</v>
      </c>
      <c r="G21" s="1" t="s">
        <v>17</v>
      </c>
      <c r="H21" s="329" t="s">
        <v>77</v>
      </c>
      <c r="I21" s="325"/>
      <c r="J21" s="325"/>
      <c r="K21" s="68" t="s">
        <v>79</v>
      </c>
      <c r="L21" s="68" t="s">
        <v>80</v>
      </c>
      <c r="M21" s="68" t="s">
        <v>78</v>
      </c>
      <c r="N21" s="111" t="s">
        <v>24</v>
      </c>
      <c r="O21" s="325" t="s">
        <v>5</v>
      </c>
      <c r="P21" s="325"/>
      <c r="Q21" s="124"/>
    </row>
    <row r="22" spans="1:21" ht="18" thickBot="1" x14ac:dyDescent="0.35">
      <c r="A22" s="91"/>
      <c r="B22" s="91">
        <v>1</v>
      </c>
      <c r="C22" s="379" t="s">
        <v>72</v>
      </c>
      <c r="D22" s="379"/>
      <c r="E22" s="371">
        <v>0</v>
      </c>
      <c r="F22" s="371"/>
      <c r="G22" s="1" t="s">
        <v>17</v>
      </c>
      <c r="H22" s="330" t="s">
        <v>83</v>
      </c>
      <c r="I22" s="331"/>
      <c r="J22" s="114"/>
      <c r="K22" s="114"/>
      <c r="L22" s="120"/>
      <c r="M22" s="121">
        <f>M24+M25</f>
        <v>28</v>
      </c>
      <c r="N22" s="122">
        <f>N24+N25</f>
        <v>3.5</v>
      </c>
      <c r="O22" s="332">
        <f>SUM(O23:P25)</f>
        <v>22464</v>
      </c>
      <c r="P22" s="333"/>
      <c r="Q22" s="2"/>
      <c r="R22" s="2"/>
    </row>
    <row r="23" spans="1:21" x14ac:dyDescent="0.3">
      <c r="A23" s="91"/>
      <c r="B23" s="91">
        <v>2</v>
      </c>
      <c r="C23" s="239" t="s">
        <v>73</v>
      </c>
      <c r="D23" s="239"/>
      <c r="E23" s="239">
        <v>0</v>
      </c>
      <c r="F23" s="239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334">
        <f>M23*L23</f>
        <v>4992</v>
      </c>
      <c r="P23" s="334"/>
      <c r="Q23" s="2"/>
      <c r="R23" s="2"/>
    </row>
    <row r="24" spans="1:21" x14ac:dyDescent="0.3">
      <c r="A24" s="91"/>
      <c r="H24" s="336" t="s">
        <v>108</v>
      </c>
      <c r="I24" s="336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37">
        <f>M24*L24</f>
        <v>9984</v>
      </c>
      <c r="P24" s="338"/>
      <c r="Q24" s="2"/>
      <c r="R24" s="2"/>
    </row>
    <row r="25" spans="1:21" ht="18" thickBot="1" x14ac:dyDescent="0.35">
      <c r="H25" s="279" t="s">
        <v>85</v>
      </c>
      <c r="I25" s="279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339">
        <f>M25*L25</f>
        <v>7488</v>
      </c>
      <c r="P25" s="340"/>
      <c r="Q25" s="2"/>
      <c r="R25" s="2"/>
    </row>
    <row r="26" spans="1:21" ht="18.75" thickBot="1" x14ac:dyDescent="0.35">
      <c r="A26" s="356" t="s">
        <v>44</v>
      </c>
      <c r="B26" s="357"/>
      <c r="C26" s="357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58">
        <v>1500000</v>
      </c>
      <c r="B27" s="239"/>
      <c r="C27" s="239"/>
      <c r="D27" s="5">
        <v>500</v>
      </c>
      <c r="E27" s="5"/>
      <c r="F27" s="30">
        <v>0</v>
      </c>
      <c r="H27" s="341" t="s">
        <v>88</v>
      </c>
      <c r="I27" s="342"/>
      <c r="J27" s="110"/>
      <c r="K27" s="110"/>
      <c r="L27" s="110"/>
      <c r="M27" s="123">
        <f>M28+M29</f>
        <v>32</v>
      </c>
      <c r="N27" s="123">
        <f>N28+N29</f>
        <v>4</v>
      </c>
      <c r="O27" s="332">
        <f>SUM(O28:P30)</f>
        <v>19968</v>
      </c>
      <c r="P27" s="255"/>
      <c r="Q27" s="2"/>
      <c r="R27" s="2"/>
      <c r="S27" s="149" t="s">
        <v>103</v>
      </c>
      <c r="T27" s="144" t="s">
        <v>105</v>
      </c>
      <c r="U27" s="19"/>
    </row>
    <row r="28" spans="1:21" x14ac:dyDescent="0.3">
      <c r="A28" s="359" t="s">
        <v>46</v>
      </c>
      <c r="B28" s="360"/>
      <c r="C28" s="361"/>
      <c r="F28" s="20"/>
      <c r="H28" s="349" t="s">
        <v>89</v>
      </c>
      <c r="I28" s="349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50">
        <f>M28*L28</f>
        <v>19968</v>
      </c>
      <c r="P28" s="351"/>
      <c r="Q28" s="2"/>
      <c r="R28" s="2"/>
      <c r="S28" s="143">
        <f>N27+N22</f>
        <v>7.5</v>
      </c>
      <c r="T28" s="127">
        <f>O34/S28</f>
        <v>5657.6</v>
      </c>
      <c r="U28" s="152"/>
    </row>
    <row r="29" spans="1:21" ht="18" thickBot="1" x14ac:dyDescent="0.35">
      <c r="A29" s="362">
        <f>F27</f>
        <v>0</v>
      </c>
      <c r="B29" s="363"/>
      <c r="C29" s="363"/>
      <c r="D29" s="21">
        <f>D27</f>
        <v>500</v>
      </c>
      <c r="E29" s="21"/>
      <c r="F29" s="36">
        <f>A29/D29</f>
        <v>0</v>
      </c>
      <c r="G29" s="1" t="s">
        <v>40</v>
      </c>
      <c r="H29" s="279" t="s">
        <v>90</v>
      </c>
      <c r="I29" s="279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80">
        <f>M29*L29</f>
        <v>0</v>
      </c>
      <c r="P29" s="281"/>
      <c r="Q29" s="2"/>
      <c r="R29" s="2"/>
      <c r="S29" s="153"/>
      <c r="U29" s="152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35">
        <f>M30*L30</f>
        <v>0</v>
      </c>
      <c r="P30" s="335"/>
      <c r="Q30" s="2"/>
      <c r="R30" s="2"/>
      <c r="S30" s="153"/>
      <c r="T30" s="6"/>
      <c r="U30" s="152"/>
    </row>
    <row r="31" spans="1:21" ht="18" thickBot="1" x14ac:dyDescent="0.35">
      <c r="S31" s="154"/>
      <c r="T31" s="21" t="s">
        <v>104</v>
      </c>
      <c r="U31" s="151">
        <v>2238.1190476190477</v>
      </c>
    </row>
    <row r="32" spans="1:21" ht="17.25" customHeight="1" x14ac:dyDescent="0.3">
      <c r="H32" s="116"/>
      <c r="I32" s="116"/>
      <c r="J32" s="116"/>
      <c r="K32" s="319" t="s">
        <v>91</v>
      </c>
      <c r="L32" s="319"/>
      <c r="M32" s="319"/>
      <c r="N32" s="116"/>
      <c r="O32" s="249">
        <f>O27+O22</f>
        <v>42432</v>
      </c>
      <c r="P32" s="239"/>
    </row>
    <row r="33" spans="8:21" ht="17.25" customHeight="1" thickBot="1" x14ac:dyDescent="0.35">
      <c r="H33" s="116"/>
      <c r="I33" s="116"/>
      <c r="J33" s="116"/>
      <c r="K33" s="319" t="s">
        <v>92</v>
      </c>
      <c r="L33" s="319"/>
      <c r="M33" s="319"/>
      <c r="N33" s="117">
        <v>0</v>
      </c>
      <c r="O33" s="249">
        <f>O32*N33</f>
        <v>0</v>
      </c>
      <c r="P33" s="239"/>
      <c r="U33" s="6"/>
    </row>
    <row r="34" spans="8:21" ht="19.5" thickBot="1" x14ac:dyDescent="0.35">
      <c r="N34" s="118" t="s">
        <v>93</v>
      </c>
      <c r="O34" s="317">
        <f>O32-O33</f>
        <v>42432</v>
      </c>
      <c r="P34" s="318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26" t="s">
        <v>95</v>
      </c>
      <c r="I39" s="327"/>
      <c r="J39" s="328"/>
      <c r="L39" s="3" t="s">
        <v>86</v>
      </c>
    </row>
    <row r="40" spans="8:21" ht="18" thickBot="1" x14ac:dyDescent="0.35">
      <c r="H40" s="329" t="s">
        <v>77</v>
      </c>
      <c r="I40" s="325"/>
      <c r="J40" s="325"/>
      <c r="K40" s="68" t="s">
        <v>79</v>
      </c>
      <c r="L40" s="68" t="s">
        <v>94</v>
      </c>
      <c r="M40" s="68" t="s">
        <v>96</v>
      </c>
      <c r="N40" s="111"/>
      <c r="O40" s="325" t="s">
        <v>5</v>
      </c>
      <c r="P40" s="325"/>
    </row>
    <row r="41" spans="8:21" ht="18" thickBot="1" x14ac:dyDescent="0.35">
      <c r="H41" s="330" t="s">
        <v>83</v>
      </c>
      <c r="I41" s="331"/>
      <c r="J41" s="114"/>
      <c r="K41" s="114"/>
      <c r="L41" s="120"/>
      <c r="M41" s="121" t="s">
        <v>115</v>
      </c>
      <c r="N41" s="122" t="s">
        <v>101</v>
      </c>
      <c r="O41" s="332">
        <f>SUM(O42:P48)</f>
        <v>18331</v>
      </c>
      <c r="P41" s="333"/>
      <c r="S41" s="149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80">
        <f>M42*L42</f>
        <v>4641</v>
      </c>
      <c r="P42" s="380"/>
      <c r="S42" s="155">
        <f>SUM(O44:P46)</f>
        <v>5500</v>
      </c>
      <c r="T42" s="150">
        <f>O50+S42</f>
        <v>14000</v>
      </c>
      <c r="U42" s="155">
        <f>T42/M51</f>
        <v>280</v>
      </c>
    </row>
    <row r="43" spans="8:21" x14ac:dyDescent="0.3">
      <c r="H43" s="352" t="s">
        <v>84</v>
      </c>
      <c r="I43" s="352"/>
      <c r="J43" s="6"/>
      <c r="K43" s="6" t="s">
        <v>81</v>
      </c>
      <c r="L43" s="6">
        <v>30</v>
      </c>
      <c r="M43" s="1">
        <f>N13</f>
        <v>273</v>
      </c>
      <c r="N43" s="107"/>
      <c r="O43" s="252">
        <f t="shared" ref="O43:O48" si="0">M43*L43</f>
        <v>8190</v>
      </c>
      <c r="P43" s="252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52">
        <f t="shared" si="0"/>
        <v>0</v>
      </c>
      <c r="P44" s="252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52">
        <f t="shared" si="0"/>
        <v>0</v>
      </c>
      <c r="P45" s="251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52">
        <f t="shared" si="0"/>
        <v>5500</v>
      </c>
      <c r="P46" s="251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52">
        <f t="shared" si="0"/>
        <v>0</v>
      </c>
      <c r="P47" s="251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49">
        <f t="shared" si="0"/>
        <v>0</v>
      </c>
      <c r="P48" s="249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41" t="s">
        <v>88</v>
      </c>
      <c r="I50" s="342"/>
      <c r="J50" s="110"/>
      <c r="K50" s="110"/>
      <c r="L50" s="110"/>
      <c r="M50" s="123"/>
      <c r="N50" s="123"/>
      <c r="O50" s="332">
        <f>SUM(O51:P54)</f>
        <v>8500</v>
      </c>
      <c r="P50" s="255"/>
    </row>
    <row r="51" spans="8:20" x14ac:dyDescent="0.3">
      <c r="H51" s="349" t="s">
        <v>112</v>
      </c>
      <c r="I51" s="349"/>
      <c r="J51" s="13"/>
      <c r="K51" s="13" t="s">
        <v>81</v>
      </c>
      <c r="L51" s="43">
        <v>170</v>
      </c>
      <c r="M51" s="13">
        <f>SUM(M44:M48)</f>
        <v>50</v>
      </c>
      <c r="N51" s="115"/>
      <c r="O51" s="350">
        <f>M51*L51</f>
        <v>8500</v>
      </c>
      <c r="P51" s="351"/>
    </row>
    <row r="52" spans="8:20" x14ac:dyDescent="0.3">
      <c r="H52" s="279" t="s">
        <v>90</v>
      </c>
      <c r="I52" s="279"/>
      <c r="J52" s="49"/>
      <c r="K52" s="49" t="s">
        <v>81</v>
      </c>
      <c r="L52" s="51">
        <v>0</v>
      </c>
      <c r="M52" s="49">
        <f>SUM(M44:M48)</f>
        <v>50</v>
      </c>
      <c r="N52" s="109"/>
      <c r="O52" s="280">
        <f>M52*L52</f>
        <v>0</v>
      </c>
      <c r="P52" s="281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53">
        <f>M53*L53</f>
        <v>0</v>
      </c>
      <c r="P53" s="353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53">
        <f>M54*L54</f>
        <v>0</v>
      </c>
      <c r="P54" s="353"/>
    </row>
    <row r="55" spans="8:20" x14ac:dyDescent="0.3">
      <c r="O55" s="348"/>
      <c r="P55" s="348"/>
    </row>
    <row r="56" spans="8:20" ht="18" x14ac:dyDescent="0.3">
      <c r="H56" s="116"/>
      <c r="I56" s="116"/>
      <c r="J56" s="116"/>
      <c r="K56" s="319" t="s">
        <v>91</v>
      </c>
      <c r="L56" s="319"/>
      <c r="M56" s="319"/>
      <c r="N56" s="116"/>
      <c r="O56" s="249">
        <f>O50+O41</f>
        <v>26831</v>
      </c>
      <c r="P56" s="239"/>
    </row>
    <row r="57" spans="8:20" ht="18.75" thickBot="1" x14ac:dyDescent="0.35">
      <c r="H57" s="116"/>
      <c r="I57" s="116"/>
      <c r="J57" s="116"/>
      <c r="K57" s="319" t="s">
        <v>92</v>
      </c>
      <c r="L57" s="319"/>
      <c r="M57" s="319"/>
      <c r="N57" s="117">
        <v>0</v>
      </c>
      <c r="O57" s="249">
        <f>O56*N57</f>
        <v>0</v>
      </c>
      <c r="P57" s="239"/>
    </row>
    <row r="58" spans="8:20" ht="19.5" thickBot="1" x14ac:dyDescent="0.35">
      <c r="N58" s="118" t="s">
        <v>93</v>
      </c>
      <c r="O58" s="317">
        <f>O56-O57</f>
        <v>26831</v>
      </c>
      <c r="P58" s="318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138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671.43571428571431</v>
      </c>
      <c r="M70" s="6">
        <f>L70*M68</f>
        <v>6042.9214285714288</v>
      </c>
      <c r="N70" s="133">
        <f>M70+K70</f>
        <v>9815.9214285714297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67" t="s">
        <v>26</v>
      </c>
      <c r="I72" s="367"/>
      <c r="J72" s="367"/>
      <c r="K72" s="367"/>
      <c r="L72" s="367"/>
      <c r="M72" s="367"/>
      <c r="T72" s="1" t="s">
        <v>136</v>
      </c>
      <c r="U72" s="1" t="s">
        <v>137</v>
      </c>
    </row>
    <row r="73" spans="8:32" ht="18" thickBot="1" x14ac:dyDescent="0.35">
      <c r="H73" s="368" t="s">
        <v>27</v>
      </c>
      <c r="I73" s="368" t="s">
        <v>28</v>
      </c>
      <c r="J73" s="368"/>
      <c r="K73" s="368" t="s">
        <v>29</v>
      </c>
      <c r="L73" s="368" t="s">
        <v>30</v>
      </c>
      <c r="M73" s="368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68"/>
      <c r="I74" s="14"/>
      <c r="J74" s="14"/>
      <c r="K74" s="368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68"/>
      <c r="I75" s="14" t="s">
        <v>31</v>
      </c>
      <c r="J75" s="14" t="s">
        <v>32</v>
      </c>
      <c r="K75" s="368"/>
      <c r="L75" s="14" t="s">
        <v>33</v>
      </c>
      <c r="M75" s="14" t="s">
        <v>34</v>
      </c>
      <c r="T75" s="365" t="s">
        <v>56</v>
      </c>
      <c r="U75" s="366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68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54" t="s">
        <v>65</v>
      </c>
      <c r="X79" s="355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139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8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8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139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7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7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MSI User</cp:lastModifiedBy>
  <cp:lastPrinted>2022-09-21T07:15:25Z</cp:lastPrinted>
  <dcterms:created xsi:type="dcterms:W3CDTF">2022-07-11T17:42:49Z</dcterms:created>
  <dcterms:modified xsi:type="dcterms:W3CDTF">2022-11-09T12:56:10Z</dcterms:modified>
</cp:coreProperties>
</file>