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House Jordaan\"/>
    </mc:Choice>
  </mc:AlternateContent>
  <xr:revisionPtr revIDLastSave="0" documentId="13_ncr:1_{10F63383-F247-4B2F-8E0D-F991EA9CA81D}" xr6:coauthVersionLast="47" xr6:coauthVersionMax="47" xr10:uidLastSave="{00000000-0000-0000-0000-000000000000}"/>
  <bookViews>
    <workbookView xWindow="-120" yWindow="-120" windowWidth="29040" windowHeight="15720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1" l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J25" i="1" l="1"/>
  <c r="O37" i="1"/>
  <c r="J24" i="1" s="1"/>
  <c r="G18" i="3" l="1"/>
  <c r="H49" i="3"/>
  <c r="F16" i="3"/>
  <c r="F17" i="3"/>
  <c r="G19" i="3"/>
  <c r="G20" i="3"/>
  <c r="G21" i="3"/>
  <c r="G22" i="3"/>
  <c r="G16" i="3"/>
  <c r="G23" i="3"/>
  <c r="F19" i="3"/>
  <c r="E19" i="3"/>
  <c r="H19" i="3" s="1"/>
  <c r="E20" i="3"/>
  <c r="H20" i="3" s="1"/>
  <c r="E21" i="3"/>
  <c r="G17" i="3" l="1"/>
  <c r="G53" i="3" l="1"/>
  <c r="H38" i="3"/>
  <c r="H37" i="3" l="1"/>
  <c r="C14" i="2"/>
  <c r="C15" i="2" s="1"/>
  <c r="H35" i="3"/>
  <c r="H36" i="3"/>
  <c r="H34" i="3"/>
  <c r="K63" i="2"/>
  <c r="K36" i="3"/>
  <c r="M54" i="3"/>
  <c r="M53" i="3"/>
  <c r="M52" i="3"/>
  <c r="M51" i="3"/>
  <c r="M50" i="3"/>
  <c r="M49" i="3"/>
  <c r="M48" i="3"/>
  <c r="M47" i="3"/>
  <c r="L63" i="2" l="1"/>
  <c r="H33" i="3"/>
  <c r="H40" i="3" s="1"/>
  <c r="H42" i="3" s="1"/>
  <c r="L64" i="2"/>
  <c r="H53" i="3"/>
  <c r="M55" i="3"/>
  <c r="L65" i="2" l="1"/>
  <c r="K64" i="2" s="1"/>
  <c r="E55" i="3"/>
  <c r="E60" i="3" s="1"/>
  <c r="E61" i="3" s="1"/>
  <c r="E5" i="2"/>
  <c r="E62" i="3" l="1"/>
  <c r="E64" i="3" s="1"/>
  <c r="K25" i="2"/>
  <c r="K44" i="2"/>
  <c r="F67" i="3" l="1"/>
  <c r="H67" i="3" s="1"/>
  <c r="F70" i="3"/>
  <c r="H70" i="3" s="1"/>
  <c r="F73" i="3"/>
  <c r="F71" i="3"/>
  <c r="F68" i="3"/>
  <c r="H68" i="3" s="1"/>
  <c r="F72" i="3"/>
  <c r="H72" i="3" s="1"/>
  <c r="F69" i="3"/>
  <c r="H69" i="3" s="1"/>
  <c r="L45" i="2"/>
  <c r="L44" i="2"/>
  <c r="L26" i="2"/>
  <c r="L25" i="2"/>
  <c r="C16" i="2"/>
  <c r="C18" i="2" s="1"/>
  <c r="H71" i="3" l="1"/>
  <c r="H76" i="3"/>
  <c r="H73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75" i="3" l="1"/>
  <c r="H78" i="3" s="1"/>
  <c r="Q14" i="2"/>
  <c r="W9" i="2"/>
  <c r="S9" i="2" s="1"/>
  <c r="S15" i="2" s="1"/>
  <c r="F15" i="3" l="1"/>
  <c r="G15" i="3" l="1"/>
  <c r="M15" i="3" s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17" i="3" s="1"/>
  <c r="H17" i="3" s="1"/>
  <c r="E16" i="3" l="1"/>
  <c r="H16" i="3" s="1"/>
  <c r="F5" i="2"/>
  <c r="G5" i="2" s="1"/>
  <c r="H5" i="2" s="1"/>
  <c r="E18" i="3"/>
  <c r="H18" i="3" s="1"/>
  <c r="H15" i="3" l="1"/>
  <c r="H24" i="3" s="1"/>
  <c r="H25" i="3" s="1"/>
  <c r="H26" i="3" s="1"/>
  <c r="J24" i="3"/>
  <c r="M19" i="3"/>
  <c r="L34" i="3" l="1"/>
  <c r="K24" i="3"/>
  <c r="L24" i="3" s="1"/>
  <c r="N24" i="3" s="1"/>
  <c r="M24" i="3" s="1"/>
  <c r="M26" i="3" s="1"/>
  <c r="M28" i="3" s="1"/>
  <c r="L35" i="3"/>
  <c r="L33" i="3"/>
  <c r="L36" i="3" l="1"/>
</calcChain>
</file>

<file path=xl/sharedStrings.xml><?xml version="1.0" encoding="utf-8"?>
<sst xmlns="http://schemas.openxmlformats.org/spreadsheetml/2006/main" count="259" uniqueCount="172">
  <si>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</si>
  <si>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</si>
  <si>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</si>
  <si>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</si>
  <si>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</si>
  <si>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</si>
  <si>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</si>
  <si>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</si>
  <si>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</si>
  <si>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</si>
  <si>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</si>
  <si>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</si>
  <si>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</si>
  <si>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</si>
  <si>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</si>
  <si>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</si>
  <si>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</si>
  <si>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</si>
  <si>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</si>
  <si>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</si>
  <si>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</si>
  <si>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</si>
  <si>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</si>
  <si>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</si>
  <si>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</si>
  <si>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</si>
  <si>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</si>
  <si>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</si>
  <si>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</si>
  <si>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</si>
  <si>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</si>
  <si>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</si>
  <si>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</si>
  <si>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</si>
  <si>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</si>
  <si>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</si>
  <si>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</si>
  <si>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</si>
  <si>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</si>
  <si>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</si>
  <si>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</si>
  <si>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</si>
  <si>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</si>
  <si>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</si>
  <si>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</si>
  <si>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</si>
  <si>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</si>
  <si>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</si>
  <si>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</si>
  <si>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</si>
  <si>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</si>
  <si>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</si>
  <si>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</si>
  <si>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</si>
  <si>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</si>
  <si>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</si>
  <si>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</si>
  <si>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</si>
  <si>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</si>
  <si>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</si>
  <si>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</si>
  <si>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</si>
  <si>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</si>
  <si>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</si>
  <si>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</si>
  <si>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</si>
  <si>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</si>
  <si>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</si>
  <si>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</si>
  <si>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</si>
  <si>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</si>
  <si>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</si>
  <si>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</si>
  <si>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</si>
  <si>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</si>
  <si>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</si>
  <si>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</si>
  <si>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</si>
  <si>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</si>
  <si>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</si>
  <si>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</si>
  <si>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</si>
  <si>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</si>
  <si>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</si>
  <si>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</si>
  <si>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</si>
  <si>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</si>
  <si>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</si>
  <si>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</si>
  <si>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</si>
  <si>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</si>
  <si>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</si>
  <si>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</si>
  <si>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</si>
  <si>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</si>
  <si>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</si>
  <si>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</si>
  <si>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</si>
  <si>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</si>
  <si>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</si>
  <si>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</si>
  <si>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</si>
  <si>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</si>
  <si>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</si>
  <si>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</si>
  <si>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</si>
  <si>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</si>
  <si>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</si>
  <si>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</si>
  <si>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</si>
  <si>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</si>
  <si>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</si>
  <si>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</si>
  <si>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</si>
  <si>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</si>
  <si>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</si>
  <si>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</si>
  <si>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</si>
  <si>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</si>
  <si>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</si>
  <si>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</si>
  <si>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</si>
  <si>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</si>
  <si>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</si>
  <si>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</si>
  <si>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</si>
  <si>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</si>
  <si>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</si>
  <si>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</si>
  <si>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</si>
  <si>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</si>
  <si>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</si>
  <si>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</si>
  <si>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Admin (Muncipal Submission)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</si>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</sst>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6" formatCode="[$R-1C09]\ #,##0"/>
    <numFmt numFmtId="167" formatCode="[$R-1C09]#,##0.00"/>
    <numFmt numFmtId="168" formatCode="0.0%"/>
    <numFmt numFmtId="169" formatCode="General\ &quot;Visit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4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9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4" fillId="0" borderId="0" xfId="0" applyFont="1" applyAlignment="1"/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4" borderId="0" xfId="0" applyFont="1" applyFill="1" applyAlignment="1">
      <alignment horizontal="center"/>
    </xf>
    <xf numFmtId="44" fontId="3" fillId="0" borderId="4" xfId="0" applyNumberFormat="1" applyFont="1" applyBorder="1" applyAlignment="1">
      <alignment horizont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 applyAlignment="1">
      <alignment horizontal="center"/>
    </xf>
    <xf numFmtId="4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/>
    <xf numFmtId="0" fontId="4" fillId="0" borderId="4" xfId="0" applyFont="1" applyBorder="1"/>
    <xf numFmtId="164" fontId="4" fillId="0" borderId="0" xfId="0" applyNumberFormat="1" applyFont="1" applyAlignment="1">
      <alignment horizontal="center"/>
    </xf>
    <xf numFmtId="0" fontId="15" fillId="0" borderId="0" xfId="0" applyFont="1"/>
    <xf numFmtId="0" fontId="4" fillId="0" borderId="45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10" fontId="4" fillId="0" borderId="0" xfId="3" applyNumberFormat="1" applyFont="1"/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3" fillId="0" borderId="0" xfId="0" applyFont="1"/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44" xfId="0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8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3" fillId="0" borderId="0" xfId="0" applyNumberFormat="1" applyFont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0" fontId="4" fillId="0" borderId="0" xfId="0" applyFont="1" applyBorder="1"/>
    <xf numFmtId="9" fontId="4" fillId="0" borderId="0" xfId="0" applyNumberFormat="1" applyFont="1" applyBorder="1"/>
    <xf numFmtId="44" fontId="4" fillId="0" borderId="0" xfId="0" applyNumberFormat="1" applyFont="1" applyBorder="1"/>
    <xf numFmtId="44" fontId="3" fillId="5" borderId="4" xfId="0" applyNumberFormat="1" applyFont="1" applyFill="1" applyBorder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4" fillId="0" borderId="0" xfId="0" applyFont="1" applyBorder="1" applyAlignment="1"/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abSelected="1" topLeftCell="A10" workbookViewId="0">
      <selection activeCell="F32" sqref="F3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73"/>
      <c r="B1" s="273"/>
      <c r="C1" s="273"/>
      <c r="D1" s="273"/>
      <c r="E1" s="273"/>
      <c r="F1" s="273"/>
      <c r="G1" s="273"/>
      <c r="H1" s="273"/>
      <c r="I1" s="273"/>
      <c r="J1" s="273"/>
    </row>
    <row r="2" spans="1:11" x14ac:dyDescent="0.3">
      <c r="A2" s="273"/>
      <c r="B2" s="273"/>
      <c r="C2" s="273"/>
      <c r="D2" s="273"/>
      <c r="E2" s="273"/>
      <c r="F2" s="273"/>
      <c r="G2" s="273"/>
      <c r="H2" s="273"/>
      <c r="I2" s="273"/>
      <c r="J2" s="273"/>
    </row>
    <row r="3" spans="1:11" x14ac:dyDescent="0.3">
      <c r="A3" s="273"/>
      <c r="B3" s="273"/>
      <c r="C3" s="273"/>
      <c r="D3" s="273"/>
      <c r="E3" s="273"/>
      <c r="F3" s="273"/>
      <c r="G3" s="273"/>
      <c r="H3" s="273"/>
      <c r="I3" s="273"/>
      <c r="J3" s="273"/>
    </row>
    <row r="4" spans="1:11" x14ac:dyDescent="0.3">
      <c r="A4" s="273"/>
      <c r="B4" s="273"/>
      <c r="C4" s="273"/>
      <c r="D4" s="273"/>
      <c r="E4" s="273"/>
      <c r="F4" s="273"/>
      <c r="G4" s="273"/>
      <c r="H4" s="273"/>
      <c r="I4" s="273"/>
      <c r="J4" s="273"/>
    </row>
    <row r="5" spans="1:11" x14ac:dyDescent="0.3">
      <c r="A5" s="273"/>
      <c r="B5" s="273"/>
      <c r="C5" s="273"/>
      <c r="D5" s="273"/>
      <c r="E5" s="273"/>
      <c r="F5" s="273"/>
      <c r="G5" s="273"/>
      <c r="H5" s="273"/>
      <c r="I5" s="273"/>
      <c r="J5" s="273"/>
    </row>
    <row r="6" spans="1:11" x14ac:dyDescent="0.3">
      <c r="A6" s="273"/>
      <c r="B6" s="273"/>
      <c r="C6" s="273"/>
      <c r="D6" s="273"/>
      <c r="E6" s="273"/>
      <c r="F6" s="273"/>
      <c r="G6" s="273"/>
      <c r="H6" s="273"/>
      <c r="I6" s="273"/>
      <c r="J6" s="273"/>
    </row>
    <row r="7" spans="1:11" x14ac:dyDescent="0.3">
      <c r="A7" s="273"/>
      <c r="B7" s="273"/>
      <c r="C7" s="273"/>
      <c r="D7" s="273"/>
      <c r="E7" s="273"/>
      <c r="F7" s="273"/>
      <c r="G7" s="273"/>
      <c r="H7" s="273"/>
      <c r="I7" s="273"/>
      <c r="J7" s="273"/>
    </row>
    <row r="8" spans="1:11" x14ac:dyDescent="0.3">
      <c r="A8" s="273"/>
      <c r="B8" s="273"/>
      <c r="C8" s="273"/>
      <c r="D8" s="273"/>
      <c r="E8" s="273"/>
      <c r="F8" s="273"/>
      <c r="G8" s="273"/>
      <c r="H8" s="273"/>
      <c r="I8" s="273"/>
      <c r="J8" s="273"/>
    </row>
    <row r="9" spans="1:11" x14ac:dyDescent="0.3">
      <c r="A9" s="273"/>
      <c r="B9" s="273"/>
      <c r="C9" s="273"/>
      <c r="D9" s="273"/>
      <c r="E9" s="273"/>
      <c r="F9" s="273"/>
      <c r="G9" s="273"/>
      <c r="H9" s="273"/>
      <c r="I9" s="273"/>
      <c r="J9" s="273"/>
    </row>
    <row r="10" spans="1:11" x14ac:dyDescent="0.3">
      <c r="A10" s="273"/>
      <c r="B10" s="273"/>
      <c r="C10" s="273"/>
      <c r="D10" s="273"/>
      <c r="E10" s="273"/>
      <c r="F10" s="273"/>
      <c r="G10" s="273"/>
      <c r="H10" s="273"/>
      <c r="I10" s="273"/>
      <c r="J10" s="273"/>
    </row>
    <row r="11" spans="1:11" ht="21" thickBot="1" x14ac:dyDescent="0.35">
      <c r="A11" s="221" t="s">
        <v>5</v>
      </c>
      <c r="B11" s="222"/>
      <c r="C11" s="222"/>
      <c r="D11" s="222"/>
      <c r="E11" s="222"/>
      <c r="F11" s="222"/>
      <c r="G11" s="222"/>
      <c r="H11" s="222"/>
      <c r="I11" s="222"/>
      <c r="J11" s="222"/>
    </row>
    <row r="12" spans="1:11" ht="18.75" customHeight="1" thickBot="1" x14ac:dyDescent="0.35">
      <c r="A12" s="290" t="s">
        <v>89</v>
      </c>
      <c r="B12" s="292" t="s">
        <v>1</v>
      </c>
      <c r="C12" s="289" t="s">
        <v>0</v>
      </c>
      <c r="D12" s="294" t="s">
        <v>117</v>
      </c>
      <c r="E12" s="260" t="s">
        <v>9</v>
      </c>
      <c r="F12" s="264"/>
      <c r="G12" s="261"/>
      <c r="H12" s="260" t="s">
        <v>4</v>
      </c>
      <c r="I12" s="261"/>
      <c r="J12" s="289" t="s">
        <v>136</v>
      </c>
    </row>
    <row r="13" spans="1:11" x14ac:dyDescent="0.3">
      <c r="A13" s="295">
        <v>1</v>
      </c>
      <c r="B13" s="301" t="s">
        <v>137</v>
      </c>
      <c r="C13" s="291" t="s">
        <v>2</v>
      </c>
      <c r="D13" s="277">
        <v>40000</v>
      </c>
      <c r="E13" s="262">
        <v>0.1</v>
      </c>
      <c r="F13" s="262"/>
      <c r="G13" s="277">
        <f>D13*E13</f>
        <v>4000</v>
      </c>
      <c r="H13" s="274">
        <f>D13+G13</f>
        <v>44000</v>
      </c>
      <c r="I13" s="274"/>
      <c r="J13" s="291">
        <v>2</v>
      </c>
    </row>
    <row r="14" spans="1:11" x14ac:dyDescent="0.3">
      <c r="A14" s="295">
        <v>2</v>
      </c>
      <c r="B14" s="291" t="s">
        <v>93</v>
      </c>
      <c r="C14" s="291" t="s">
        <v>92</v>
      </c>
      <c r="D14" s="275">
        <v>24000</v>
      </c>
      <c r="E14" s="263">
        <v>0.1</v>
      </c>
      <c r="F14" s="263"/>
      <c r="G14" s="277">
        <f>D14*E14</f>
        <v>2400</v>
      </c>
      <c r="H14" s="276">
        <f>D14+G14</f>
        <v>26400</v>
      </c>
      <c r="I14" s="276"/>
      <c r="J14" s="291">
        <v>1</v>
      </c>
    </row>
    <row r="15" spans="1:11" x14ac:dyDescent="0.3">
      <c r="A15" s="295"/>
      <c r="B15" s="291"/>
      <c r="C15" s="291"/>
      <c r="D15" s="275"/>
      <c r="E15" s="320"/>
      <c r="F15" s="320"/>
      <c r="G15" s="277"/>
      <c r="H15" s="276"/>
      <c r="I15" s="276"/>
      <c r="J15" s="291"/>
    </row>
    <row r="16" spans="1:11" x14ac:dyDescent="0.3">
      <c r="A16" s="280"/>
      <c r="B16" s="278"/>
      <c r="C16" s="278"/>
      <c r="D16" s="278"/>
      <c r="E16" s="232"/>
      <c r="F16" s="232"/>
      <c r="G16" s="278"/>
      <c r="H16" s="232"/>
      <c r="I16" s="232"/>
      <c r="J16" s="278"/>
      <c r="K16"/>
    </row>
    <row r="17" spans="1:15" ht="21" thickBot="1" x14ac:dyDescent="0.35">
      <c r="A17" s="223" t="s">
        <v>6</v>
      </c>
      <c r="B17" s="223"/>
      <c r="C17" s="223"/>
      <c r="D17" s="223"/>
      <c r="E17" s="223"/>
      <c r="F17" s="223"/>
      <c r="G17" s="223"/>
      <c r="H17" s="223"/>
      <c r="I17" s="223"/>
      <c r="J17" s="223"/>
      <c r="K17"/>
    </row>
    <row r="18" spans="1:15" ht="18" thickBot="1" x14ac:dyDescent="0.35">
      <c r="A18" s="287" t="s">
        <v>89</v>
      </c>
      <c r="B18" s="293" t="s">
        <v>7</v>
      </c>
      <c r="C18" s="269" t="s">
        <v>10</v>
      </c>
      <c r="D18" s="270"/>
      <c r="E18" s="267" t="s">
        <v>8</v>
      </c>
      <c r="F18" s="268"/>
      <c r="G18" s="271" t="s">
        <v>11</v>
      </c>
      <c r="H18" s="272"/>
      <c r="I18" s="272"/>
      <c r="J18" s="272"/>
      <c r="K18"/>
    </row>
    <row r="19" spans="1:15" x14ac:dyDescent="0.3">
      <c r="A19" s="295">
        <v>1</v>
      </c>
      <c r="B19" s="300">
        <v>21</v>
      </c>
      <c r="C19" s="321">
        <f>D45</f>
        <v>6240.323166666667</v>
      </c>
      <c r="D19" s="321"/>
      <c r="E19" s="265">
        <v>8</v>
      </c>
      <c r="F19" s="265"/>
      <c r="G19" s="335">
        <f>ROUNDUP(C19/E19,-0.1)</f>
        <v>781</v>
      </c>
      <c r="H19" s="335"/>
      <c r="I19" s="335"/>
      <c r="J19" s="335"/>
      <c r="K19" s="113"/>
    </row>
    <row r="20" spans="1:15" x14ac:dyDescent="0.3">
      <c r="A20" s="295">
        <v>2</v>
      </c>
      <c r="B20" s="300">
        <v>21</v>
      </c>
      <c r="C20" s="320">
        <f ca="1">J45</f>
        <v>5167.8</v>
      </c>
      <c r="D20" s="320"/>
      <c r="E20" s="266">
        <v>8</v>
      </c>
      <c r="F20" s="266"/>
      <c r="G20" s="336">
        <f ca="1">ROUNDUP(C20/E20,-1)</f>
        <v>650</v>
      </c>
      <c r="H20" s="336"/>
      <c r="I20" s="336"/>
      <c r="J20" s="336"/>
      <c r="K20" s="113"/>
    </row>
    <row r="21" spans="1:15" x14ac:dyDescent="0.3">
      <c r="A21" s="280"/>
      <c r="B21" s="278"/>
      <c r="C21" s="278"/>
      <c r="D21" s="278"/>
      <c r="E21" s="232"/>
      <c r="F21" s="232"/>
      <c r="G21" s="278"/>
      <c r="H21" s="278"/>
      <c r="I21" s="278"/>
      <c r="J21" s="278"/>
      <c r="K21"/>
    </row>
    <row r="22" spans="1:15" ht="21" thickBot="1" x14ac:dyDescent="0.35">
      <c r="A22" s="221" t="s">
        <v>138</v>
      </c>
      <c r="B22" s="222"/>
      <c r="C22" s="222"/>
      <c r="D22" s="222"/>
      <c r="E22" s="222"/>
      <c r="F22" s="222"/>
      <c r="G22" s="222"/>
      <c r="H22" s="222"/>
      <c r="I22" s="222"/>
      <c r="J22" s="222"/>
      <c r="K22"/>
    </row>
    <row r="23" spans="1:15" ht="18" thickBot="1" x14ac:dyDescent="0.35">
      <c r="A23" s="287"/>
      <c r="B23" s="313" t="s">
        <v>139</v>
      </c>
      <c r="C23" s="313"/>
      <c r="D23" s="313" t="s">
        <v>3</v>
      </c>
      <c r="E23" s="313"/>
      <c r="F23" s="281"/>
      <c r="G23" s="281"/>
      <c r="H23" s="281"/>
      <c r="I23" s="281"/>
      <c r="J23" s="307"/>
    </row>
    <row r="24" spans="1:15" x14ac:dyDescent="0.3">
      <c r="A24" s="315">
        <v>1</v>
      </c>
      <c r="B24" s="282" t="s">
        <v>140</v>
      </c>
      <c r="C24" s="282"/>
      <c r="D24" s="322">
        <v>9510</v>
      </c>
      <c r="E24" s="323"/>
      <c r="F24" s="314">
        <v>1</v>
      </c>
      <c r="G24" s="340" t="s">
        <v>168</v>
      </c>
      <c r="H24" s="340"/>
      <c r="I24" s="333">
        <v>1</v>
      </c>
      <c r="J24" s="324">
        <f ca="1">SUMIF($L$33:$O$42,G24,$O$33:$O$42)*$I$24</f>
        <v>750</v>
      </c>
      <c r="L24" s="278" t="s">
        <v>157</v>
      </c>
      <c r="M24" s="278"/>
      <c r="N24" s="278"/>
      <c r="O24" s="278"/>
    </row>
    <row r="25" spans="1:15" x14ac:dyDescent="0.3">
      <c r="A25" s="280">
        <v>2</v>
      </c>
      <c r="B25" s="278" t="s">
        <v>141</v>
      </c>
      <c r="C25" s="278"/>
      <c r="D25" s="215">
        <v>1000</v>
      </c>
      <c r="E25" s="324"/>
      <c r="F25" s="314">
        <v>2</v>
      </c>
      <c r="G25" s="332" t="s">
        <v>169</v>
      </c>
      <c r="H25" s="332"/>
      <c r="I25" s="333">
        <v>1</v>
      </c>
      <c r="J25" s="324">
        <f ca="1">SUMIF($L$33:$O$43,G25,$O$33:$O$43)*$I$25</f>
        <v>350</v>
      </c>
      <c r="L25" s="303" t="s">
        <v>158</v>
      </c>
      <c r="M25" s="318" t="s">
        <v>159</v>
      </c>
      <c r="N25" s="304" t="s">
        <v>4</v>
      </c>
      <c r="O25" s="319" t="s">
        <v>160</v>
      </c>
    </row>
    <row r="26" spans="1:15" x14ac:dyDescent="0.3">
      <c r="A26" s="280">
        <v>3</v>
      </c>
      <c r="B26" s="278" t="s">
        <v>143</v>
      </c>
      <c r="C26" s="278"/>
      <c r="D26" s="215">
        <v>3830</v>
      </c>
      <c r="E26" s="324"/>
      <c r="F26" s="314">
        <v>3</v>
      </c>
      <c r="G26" s="332" t="s">
        <v>140</v>
      </c>
      <c r="H26" s="332"/>
      <c r="I26" s="333">
        <v>0.3</v>
      </c>
      <c r="J26" s="324">
        <f ca="1">SUMIF($B$24:$D$36,G26,$D$24:$D$36)*I26</f>
        <v>2853</v>
      </c>
      <c r="L26" s="296" t="s">
        <v>165</v>
      </c>
      <c r="M26" s="316">
        <v>12</v>
      </c>
      <c r="N26" s="331">
        <f>9000*C41</f>
        <v>18000</v>
      </c>
      <c r="O26" s="219">
        <f>N26/M26</f>
        <v>1500</v>
      </c>
    </row>
    <row r="27" spans="1:15" x14ac:dyDescent="0.3">
      <c r="A27" s="280">
        <v>4</v>
      </c>
      <c r="B27" s="278" t="s">
        <v>144</v>
      </c>
      <c r="C27" s="278"/>
      <c r="D27" s="215">
        <v>600</v>
      </c>
      <c r="E27" s="324"/>
      <c r="F27" s="314">
        <v>4</v>
      </c>
      <c r="G27" s="332" t="s">
        <v>141</v>
      </c>
      <c r="H27" s="332"/>
      <c r="I27" s="333">
        <v>0.3</v>
      </c>
      <c r="J27" s="324">
        <f ca="1">SUMIF($B$24:$D$36,G27,$D$24:$D$36)*I27</f>
        <v>300</v>
      </c>
      <c r="L27" s="285" t="s">
        <v>161</v>
      </c>
      <c r="M27" s="278">
        <v>12</v>
      </c>
      <c r="N27" s="215">
        <v>13200</v>
      </c>
      <c r="O27" s="324">
        <f>N27/M27</f>
        <v>1100</v>
      </c>
    </row>
    <row r="28" spans="1:15" x14ac:dyDescent="0.3">
      <c r="A28" s="280">
        <v>5</v>
      </c>
      <c r="B28" s="278" t="s">
        <v>145</v>
      </c>
      <c r="C28" s="278"/>
      <c r="D28" s="215">
        <v>770</v>
      </c>
      <c r="E28" s="324"/>
      <c r="F28" s="314">
        <v>5</v>
      </c>
      <c r="G28" s="332" t="s">
        <v>144</v>
      </c>
      <c r="H28" s="332"/>
      <c r="I28" s="333">
        <v>0.3</v>
      </c>
      <c r="J28" s="324">
        <f ca="1">SUMIF($B$24:$D$36,G28,$D$24:$D$36)*I28</f>
        <v>180</v>
      </c>
      <c r="L28" s="285" t="s">
        <v>162</v>
      </c>
      <c r="M28" s="278">
        <v>12</v>
      </c>
      <c r="N28" s="215">
        <v>1600</v>
      </c>
      <c r="O28" s="324">
        <f>N28/M28</f>
        <v>133.33333333333334</v>
      </c>
    </row>
    <row r="29" spans="1:15" x14ac:dyDescent="0.3">
      <c r="A29" s="280">
        <v>6</v>
      </c>
      <c r="B29" s="278" t="s">
        <v>146</v>
      </c>
      <c r="C29" s="278"/>
      <c r="D29" s="215">
        <f>700*4*2</f>
        <v>5600</v>
      </c>
      <c r="E29" s="324"/>
      <c r="F29" s="314">
        <v>6</v>
      </c>
      <c r="G29" s="332" t="s">
        <v>145</v>
      </c>
      <c r="H29" s="332"/>
      <c r="I29" s="333">
        <v>0.3</v>
      </c>
      <c r="J29" s="324">
        <f ca="1">SUMIF($B$24:$D$36,G29,$D$24:$D$36)*I29</f>
        <v>231</v>
      </c>
      <c r="L29" s="298" t="s">
        <v>163</v>
      </c>
      <c r="M29" s="299">
        <v>12</v>
      </c>
      <c r="N29" s="299"/>
      <c r="O29" s="317"/>
    </row>
    <row r="30" spans="1:15" x14ac:dyDescent="0.3">
      <c r="A30" s="280">
        <v>7</v>
      </c>
      <c r="B30" s="278" t="s">
        <v>147</v>
      </c>
      <c r="C30" s="278"/>
      <c r="D30" s="215">
        <v>4000</v>
      </c>
      <c r="E30" s="324"/>
      <c r="J30" s="297"/>
      <c r="L30" s="303"/>
      <c r="M30" s="302"/>
      <c r="N30" s="302" t="s">
        <v>3</v>
      </c>
      <c r="O30" s="214">
        <f>SUM(O26:O29)</f>
        <v>2733.3333333333335</v>
      </c>
    </row>
    <row r="31" spans="1:15" x14ac:dyDescent="0.3">
      <c r="A31" s="280">
        <v>8</v>
      </c>
      <c r="B31" s="278" t="s">
        <v>148</v>
      </c>
      <c r="C31" s="278"/>
      <c r="D31" s="215">
        <v>200</v>
      </c>
      <c r="E31" s="324"/>
      <c r="F31" s="285"/>
      <c r="G31" s="332"/>
      <c r="H31" s="332"/>
      <c r="I31" s="332"/>
      <c r="J31" s="297"/>
      <c r="L31" s="278"/>
      <c r="M31" s="278"/>
      <c r="N31" s="278"/>
      <c r="O31" s="278"/>
    </row>
    <row r="32" spans="1:15" x14ac:dyDescent="0.3">
      <c r="A32" s="280">
        <v>9</v>
      </c>
      <c r="B32" s="278" t="s">
        <v>149</v>
      </c>
      <c r="C32" s="278"/>
      <c r="D32" s="215">
        <f>O43*2</f>
        <v>700</v>
      </c>
      <c r="E32" s="324"/>
      <c r="J32" s="297"/>
      <c r="L32" s="278" t="s">
        <v>164</v>
      </c>
      <c r="M32" s="278"/>
      <c r="N32" s="278"/>
      <c r="O32" s="278"/>
    </row>
    <row r="33" spans="1:15" x14ac:dyDescent="0.3">
      <c r="A33" s="280">
        <v>10</v>
      </c>
      <c r="B33" s="278" t="s">
        <v>150</v>
      </c>
      <c r="C33" s="278"/>
      <c r="D33" s="215">
        <f>10000/12</f>
        <v>833.33333333333337</v>
      </c>
      <c r="E33" s="324"/>
      <c r="J33" s="297"/>
      <c r="L33" s="296" t="s">
        <v>165</v>
      </c>
      <c r="M33" s="316">
        <v>12</v>
      </c>
      <c r="N33" s="331">
        <f>9000</f>
        <v>9000</v>
      </c>
      <c r="O33" s="219">
        <f>N33/M33</f>
        <v>750</v>
      </c>
    </row>
    <row r="34" spans="1:15" x14ac:dyDescent="0.3">
      <c r="A34" s="279">
        <v>11</v>
      </c>
      <c r="B34" s="278" t="s">
        <v>151</v>
      </c>
      <c r="C34" s="278"/>
      <c r="D34" s="215">
        <f>4200/12</f>
        <v>350</v>
      </c>
      <c r="E34" s="324"/>
      <c r="F34" s="285"/>
      <c r="G34" s="332"/>
      <c r="H34" s="332"/>
      <c r="I34" s="332"/>
      <c r="J34" s="297"/>
      <c r="L34" s="285"/>
      <c r="M34" s="278">
        <v>12</v>
      </c>
      <c r="N34" s="215"/>
      <c r="O34" s="324">
        <f>N34/M34</f>
        <v>0</v>
      </c>
    </row>
    <row r="35" spans="1:15" x14ac:dyDescent="0.3">
      <c r="A35" s="279">
        <v>12</v>
      </c>
      <c r="B35" s="278" t="s">
        <v>152</v>
      </c>
      <c r="C35" s="278"/>
      <c r="D35" s="215">
        <f>5200/12/2</f>
        <v>216.66666666666666</v>
      </c>
      <c r="E35" s="324"/>
      <c r="F35" s="285"/>
      <c r="G35" s="334"/>
      <c r="H35" s="334"/>
      <c r="I35" s="334"/>
      <c r="J35" s="297"/>
      <c r="L35" s="285"/>
      <c r="M35" s="278">
        <v>12</v>
      </c>
      <c r="N35" s="215"/>
      <c r="O35" s="324">
        <f>N35/M35</f>
        <v>0</v>
      </c>
    </row>
    <row r="36" spans="1:15" x14ac:dyDescent="0.3">
      <c r="A36" s="308">
        <v>13</v>
      </c>
      <c r="B36" s="299" t="s">
        <v>142</v>
      </c>
      <c r="C36" s="299"/>
      <c r="D36" s="325">
        <f>O30</f>
        <v>2733.3333333333335</v>
      </c>
      <c r="E36" s="220"/>
      <c r="F36" s="298"/>
      <c r="G36" s="325"/>
      <c r="H36" s="325"/>
      <c r="I36" s="325"/>
      <c r="J36" s="220"/>
      <c r="L36" s="285"/>
      <c r="M36" s="278">
        <v>12</v>
      </c>
      <c r="N36" s="215"/>
      <c r="O36" s="324">
        <f>N36/M36</f>
        <v>0</v>
      </c>
    </row>
    <row r="37" spans="1:15" x14ac:dyDescent="0.3">
      <c r="A37" s="279"/>
      <c r="B37" s="278"/>
      <c r="C37" s="278"/>
      <c r="D37" s="215"/>
      <c r="E37" s="215"/>
      <c r="F37" s="278"/>
      <c r="G37" s="215"/>
      <c r="H37" s="215"/>
      <c r="I37" s="215"/>
      <c r="J37" s="215"/>
      <c r="L37" s="303" t="s">
        <v>168</v>
      </c>
      <c r="M37" s="302"/>
      <c r="N37" s="302"/>
      <c r="O37" s="214">
        <f>SUM(O33:O36)</f>
        <v>750</v>
      </c>
    </row>
    <row r="38" spans="1:15" x14ac:dyDescent="0.3">
      <c r="A38" s="279"/>
      <c r="B38" s="284" t="s">
        <v>170</v>
      </c>
      <c r="C38" s="278"/>
      <c r="D38" s="215">
        <f>SUM(D24:D36)</f>
        <v>30343.333333333332</v>
      </c>
      <c r="E38" s="215"/>
      <c r="F38" s="278"/>
      <c r="G38" s="284" t="s">
        <v>170</v>
      </c>
      <c r="H38" s="215"/>
      <c r="I38" s="215"/>
      <c r="J38" s="215">
        <f ca="1">SUM(J24:J36)</f>
        <v>4664</v>
      </c>
    </row>
    <row r="39" spans="1:15" ht="18" thickBot="1" x14ac:dyDescent="0.35">
      <c r="A39" s="309"/>
      <c r="B39" s="310" t="s">
        <v>153</v>
      </c>
      <c r="C39" s="312">
        <v>0.21299999999999999</v>
      </c>
      <c r="D39" s="326">
        <f>SUM(D38)*(1+C39)</f>
        <v>36806.463333333333</v>
      </c>
      <c r="E39" s="215"/>
      <c r="F39" s="339"/>
      <c r="G39" s="310" t="s">
        <v>153</v>
      </c>
      <c r="H39" s="310"/>
      <c r="I39" s="337">
        <v>15.5</v>
      </c>
      <c r="J39" s="338">
        <f ca="1">SUM(J38)*(1+I39)</f>
        <v>76956</v>
      </c>
      <c r="L39" s="1" t="s">
        <v>167</v>
      </c>
    </row>
    <row r="40" spans="1:15" ht="18" thickTop="1" x14ac:dyDescent="0.3">
      <c r="A40" s="280"/>
      <c r="B40" s="278"/>
      <c r="C40" s="215"/>
      <c r="D40" s="215"/>
      <c r="E40" s="215"/>
      <c r="F40" s="278"/>
      <c r="G40" s="278"/>
      <c r="H40" s="215"/>
      <c r="I40" s="215"/>
      <c r="J40" s="278"/>
      <c r="L40" s="296" t="s">
        <v>149</v>
      </c>
      <c r="M40" s="316">
        <v>12</v>
      </c>
      <c r="N40" s="331">
        <v>4200</v>
      </c>
      <c r="O40" s="219">
        <f>N40/M40</f>
        <v>350</v>
      </c>
    </row>
    <row r="41" spans="1:15" x14ac:dyDescent="0.3">
      <c r="A41" s="280">
        <v>1</v>
      </c>
      <c r="B41" s="278" t="s">
        <v>154</v>
      </c>
      <c r="C41" s="278">
        <f>J13</f>
        <v>2</v>
      </c>
      <c r="D41" s="215">
        <f>H13*J13</f>
        <v>88000</v>
      </c>
      <c r="E41" s="215"/>
      <c r="F41" s="279">
        <v>1</v>
      </c>
      <c r="G41" s="340" t="s">
        <v>166</v>
      </c>
      <c r="H41" s="340"/>
      <c r="I41" s="332"/>
      <c r="J41" s="334">
        <f>H14</f>
        <v>26400</v>
      </c>
      <c r="L41" s="285"/>
      <c r="M41" s="332"/>
      <c r="N41" s="332"/>
      <c r="O41" s="297"/>
    </row>
    <row r="42" spans="1:15" ht="18" thickBot="1" x14ac:dyDescent="0.35">
      <c r="A42" s="280"/>
      <c r="B42" s="278"/>
      <c r="C42" s="215"/>
      <c r="D42" s="215"/>
      <c r="E42" s="215"/>
      <c r="F42" s="278"/>
      <c r="L42" s="298"/>
      <c r="M42" s="299"/>
      <c r="N42" s="299"/>
      <c r="O42" s="317"/>
    </row>
    <row r="43" spans="1:15" ht="18" thickBot="1" x14ac:dyDescent="0.35">
      <c r="A43" s="280"/>
      <c r="B43" s="305" t="s">
        <v>171</v>
      </c>
      <c r="C43" s="281"/>
      <c r="D43" s="327">
        <f>D39+D41</f>
        <v>124806.46333333333</v>
      </c>
      <c r="E43" s="328"/>
      <c r="F43" s="215"/>
      <c r="G43" s="305" t="s">
        <v>171</v>
      </c>
      <c r="H43" s="281"/>
      <c r="I43" s="281"/>
      <c r="J43" s="327">
        <f ca="1">J39+J41</f>
        <v>103356</v>
      </c>
      <c r="L43" s="303" t="s">
        <v>169</v>
      </c>
      <c r="M43" s="302"/>
      <c r="N43" s="302"/>
      <c r="O43" s="214">
        <f>SUM(O40:O42)</f>
        <v>350</v>
      </c>
    </row>
    <row r="44" spans="1:15" ht="18" thickBot="1" x14ac:dyDescent="0.35">
      <c r="A44" s="280"/>
      <c r="B44" s="284"/>
      <c r="C44" s="278"/>
      <c r="D44" s="328"/>
      <c r="E44" s="328"/>
      <c r="F44" s="278"/>
      <c r="G44" s="278"/>
      <c r="H44" s="278"/>
      <c r="I44" s="278"/>
      <c r="J44" s="278"/>
    </row>
    <row r="45" spans="1:15" ht="18" thickBot="1" x14ac:dyDescent="0.35">
      <c r="A45" s="280"/>
      <c r="B45" s="306" t="s">
        <v>155</v>
      </c>
      <c r="C45" s="281"/>
      <c r="D45" s="329">
        <f>D43/4/5</f>
        <v>6240.323166666667</v>
      </c>
      <c r="E45" s="215"/>
      <c r="F45" s="288"/>
      <c r="G45" s="306" t="s">
        <v>155</v>
      </c>
      <c r="H45" s="281"/>
      <c r="I45" s="281"/>
      <c r="J45" s="329">
        <f ca="1">J43/4/5</f>
        <v>5167.8</v>
      </c>
    </row>
    <row r="46" spans="1:15" ht="18" thickBot="1" x14ac:dyDescent="0.35">
      <c r="A46" s="280"/>
      <c r="B46" s="286" t="s">
        <v>156</v>
      </c>
      <c r="C46" s="311"/>
      <c r="D46" s="330">
        <f>D45/8</f>
        <v>780.04039583333338</v>
      </c>
      <c r="E46" s="215"/>
      <c r="F46" s="278"/>
      <c r="G46" s="286" t="s">
        <v>156</v>
      </c>
      <c r="H46" s="281"/>
      <c r="I46" s="281"/>
      <c r="J46" s="329">
        <f ca="1">J45/8</f>
        <v>645.97500000000002</v>
      </c>
    </row>
  </sheetData>
  <mergeCells count="24">
    <mergeCell ref="E18:F18"/>
    <mergeCell ref="A22:J22"/>
    <mergeCell ref="A17:J17"/>
    <mergeCell ref="C18:D18"/>
    <mergeCell ref="C19:D19"/>
    <mergeCell ref="G18:J18"/>
    <mergeCell ref="G19:J19"/>
    <mergeCell ref="C20:D20"/>
    <mergeCell ref="G20:J20"/>
    <mergeCell ref="E13:F13"/>
    <mergeCell ref="E14:F14"/>
    <mergeCell ref="E12:G12"/>
    <mergeCell ref="E19:F19"/>
    <mergeCell ref="E20:F20"/>
    <mergeCell ref="E21:F21"/>
    <mergeCell ref="E15:F15"/>
    <mergeCell ref="E16:F16"/>
    <mergeCell ref="H15:I15"/>
    <mergeCell ref="H16:I16"/>
    <mergeCell ref="H13:I13"/>
    <mergeCell ref="H14:I14"/>
    <mergeCell ref="H12:I12"/>
    <mergeCell ref="A11:J11"/>
    <mergeCell ref="A1:J1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opLeftCell="A14" zoomScaleNormal="100" workbookViewId="0">
      <selection activeCell="E37" sqref="E37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3"/>
      <c r="B1" s="203"/>
      <c r="C1" s="203"/>
      <c r="D1" s="203"/>
      <c r="E1" s="203"/>
      <c r="F1" s="203"/>
      <c r="G1" s="203"/>
      <c r="H1" s="203"/>
      <c r="I1" s="1"/>
      <c r="J1" s="1"/>
      <c r="K1" s="1"/>
      <c r="L1" s="1"/>
      <c r="M1" s="1"/>
    </row>
    <row r="2" spans="1:13" ht="17.25" x14ac:dyDescent="0.3">
      <c r="A2" s="203"/>
      <c r="B2" s="203"/>
      <c r="C2" s="203"/>
      <c r="D2" s="203"/>
      <c r="E2" s="203"/>
      <c r="F2" s="203"/>
      <c r="G2" s="203"/>
      <c r="H2" s="203"/>
      <c r="I2" s="2"/>
      <c r="J2" s="2"/>
      <c r="K2" s="1"/>
      <c r="L2" s="1"/>
      <c r="M2" s="1"/>
    </row>
    <row r="3" spans="1:13" ht="17.25" x14ac:dyDescent="0.3">
      <c r="A3" s="203"/>
      <c r="B3" s="203"/>
      <c r="C3" s="203"/>
      <c r="D3" s="203"/>
      <c r="E3" s="203"/>
      <c r="F3" s="203"/>
      <c r="G3" s="203"/>
      <c r="H3" s="203"/>
      <c r="I3" s="2"/>
      <c r="J3" s="2"/>
      <c r="K3" s="1"/>
      <c r="L3" s="1"/>
      <c r="M3" s="1"/>
    </row>
    <row r="4" spans="1:13" ht="17.25" x14ac:dyDescent="0.3">
      <c r="A4" s="203"/>
      <c r="B4" s="203"/>
      <c r="C4" s="203"/>
      <c r="D4" s="203"/>
      <c r="E4" s="203"/>
      <c r="F4" s="203"/>
      <c r="G4" s="203"/>
      <c r="H4" s="203"/>
      <c r="I4" s="2"/>
      <c r="J4" s="2"/>
      <c r="K4" s="1"/>
      <c r="L4" s="1"/>
      <c r="M4" s="1"/>
    </row>
    <row r="5" spans="1:13" ht="17.25" x14ac:dyDescent="0.3">
      <c r="A5" s="203"/>
      <c r="B5" s="203"/>
      <c r="C5" s="203"/>
      <c r="D5" s="203"/>
      <c r="E5" s="203"/>
      <c r="F5" s="203"/>
      <c r="G5" s="203"/>
      <c r="H5" s="203"/>
      <c r="I5" s="2"/>
      <c r="J5" s="2"/>
      <c r="K5" s="1"/>
      <c r="L5" s="1"/>
      <c r="M5" s="1"/>
    </row>
    <row r="6" spans="1:13" ht="17.25" x14ac:dyDescent="0.3">
      <c r="A6" s="203"/>
      <c r="B6" s="203"/>
      <c r="C6" s="203"/>
      <c r="D6" s="203"/>
      <c r="E6" s="203"/>
      <c r="F6" s="203"/>
      <c r="G6" s="203"/>
      <c r="H6" s="203"/>
      <c r="I6" s="1"/>
      <c r="J6" s="1"/>
      <c r="K6" s="1"/>
      <c r="L6" s="1"/>
      <c r="M6" s="1"/>
    </row>
    <row r="7" spans="1:13" ht="17.25" x14ac:dyDescent="0.3">
      <c r="A7" s="203"/>
      <c r="B7" s="203"/>
      <c r="C7" s="203"/>
      <c r="D7" s="203"/>
      <c r="E7" s="203"/>
      <c r="F7" s="203"/>
      <c r="G7" s="203"/>
      <c r="H7" s="203"/>
      <c r="I7" s="2"/>
      <c r="J7" s="2"/>
      <c r="K7" s="1"/>
      <c r="L7" s="1"/>
      <c r="M7" s="1"/>
    </row>
    <row r="8" spans="1:13" ht="17.25" x14ac:dyDescent="0.3">
      <c r="A8" s="203"/>
      <c r="B8" s="203"/>
      <c r="C8" s="203"/>
      <c r="D8" s="203"/>
      <c r="E8" s="203"/>
      <c r="F8" s="203"/>
      <c r="G8" s="203"/>
      <c r="H8" s="203"/>
      <c r="I8" s="2"/>
      <c r="J8" s="2"/>
      <c r="K8" s="1"/>
      <c r="L8" s="1"/>
      <c r="M8" s="1"/>
    </row>
    <row r="9" spans="1:13" ht="17.25" x14ac:dyDescent="0.3">
      <c r="A9" s="203"/>
      <c r="B9" s="203"/>
      <c r="C9" s="203"/>
      <c r="D9" s="203"/>
      <c r="E9" s="203"/>
      <c r="F9" s="203"/>
      <c r="G9" s="203"/>
      <c r="H9" s="203"/>
      <c r="I9" s="1"/>
      <c r="K9" s="3"/>
      <c r="L9" s="1"/>
      <c r="M9" s="1"/>
    </row>
    <row r="10" spans="1:13" ht="18" thickBot="1" x14ac:dyDescent="0.35">
      <c r="A10" s="203"/>
      <c r="B10" s="203"/>
      <c r="C10" s="203"/>
      <c r="D10" s="203"/>
      <c r="E10" s="203"/>
      <c r="F10" s="203"/>
      <c r="G10" s="203"/>
      <c r="H10" s="203"/>
      <c r="I10" s="2"/>
      <c r="J10" s="2"/>
      <c r="K10" s="3"/>
      <c r="L10" s="1"/>
      <c r="M10" s="1"/>
    </row>
    <row r="11" spans="1:13" ht="21" thickBot="1" x14ac:dyDescent="0.35">
      <c r="A11" s="244" t="s">
        <v>12</v>
      </c>
      <c r="B11" s="245"/>
      <c r="C11" s="245"/>
      <c r="D11" s="245"/>
      <c r="E11" s="245"/>
      <c r="F11" s="245"/>
      <c r="G11" s="245"/>
      <c r="H11" s="246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247" t="s">
        <v>63</v>
      </c>
      <c r="B13" s="248"/>
      <c r="C13" s="249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250" t="s">
        <v>59</v>
      </c>
      <c r="B14" s="231"/>
      <c r="C14" s="231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251" t="s">
        <v>77</v>
      </c>
      <c r="B15" s="252"/>
      <c r="C15" s="71"/>
      <c r="D15" s="71"/>
      <c r="E15" s="71"/>
      <c r="F15" s="76">
        <f>SUM(F16:F29)</f>
        <v>40</v>
      </c>
      <c r="G15" s="218">
        <f>SUM(G16:G22)</f>
        <v>5</v>
      </c>
      <c r="H15" s="187">
        <f>SUM(H16:H22)</f>
        <v>31240</v>
      </c>
      <c r="I15" s="1"/>
      <c r="J15" s="237" t="s">
        <v>71</v>
      </c>
      <c r="K15" s="238"/>
      <c r="L15" s="239"/>
      <c r="M15" s="152">
        <f>G15</f>
        <v>5</v>
      </c>
    </row>
    <row r="16" spans="1:13" ht="17.25" x14ac:dyDescent="0.3">
      <c r="A16" s="182" t="s">
        <v>42</v>
      </c>
      <c r="B16" s="243"/>
      <c r="C16" s="243"/>
      <c r="D16" s="60" t="s">
        <v>73</v>
      </c>
      <c r="E16" s="283">
        <f>IF(D16="Dewald", Employees!$G$19,IF(D16="Hannes",Employees!$G$19,IF(D16="Johan",Employees!$G$20,"")))</f>
        <v>781</v>
      </c>
      <c r="F16" s="3">
        <f>8*2</f>
        <v>16</v>
      </c>
      <c r="G16" s="183">
        <f t="shared" ref="G16:G22" si="0">IF(F16="","",F16/8)</f>
        <v>2</v>
      </c>
      <c r="H16" s="185">
        <f t="shared" ref="H16:H20" si="1">IF(E16="","",F16*E16)</f>
        <v>12496</v>
      </c>
      <c r="I16" s="1"/>
      <c r="M16" s="3"/>
    </row>
    <row r="17" spans="1:14" ht="17.25" x14ac:dyDescent="0.3">
      <c r="A17" s="259" t="s">
        <v>114</v>
      </c>
      <c r="B17" s="259"/>
      <c r="C17" s="1"/>
      <c r="D17" s="60" t="s">
        <v>73</v>
      </c>
      <c r="E17" s="60">
        <f>IF(D17="Dewald", Employees!$G$19,IF(D17="Hannes",Employees!$G$19,IF(D17="Johan",Employees!$G$20,"")))</f>
        <v>781</v>
      </c>
      <c r="F17" s="3">
        <f>2*8</f>
        <v>16</v>
      </c>
      <c r="G17" s="183">
        <f t="shared" si="0"/>
        <v>2</v>
      </c>
      <c r="H17" s="185">
        <f t="shared" si="1"/>
        <v>12496</v>
      </c>
      <c r="I17" s="1"/>
      <c r="M17" s="3"/>
    </row>
    <row r="18" spans="1:14" ht="18" thickBot="1" x14ac:dyDescent="0.35">
      <c r="A18" s="259" t="s">
        <v>133</v>
      </c>
      <c r="B18" s="259"/>
      <c r="C18" s="1"/>
      <c r="D18" s="60" t="s">
        <v>73</v>
      </c>
      <c r="E18" s="60">
        <f>IF(D18="Dewald", Employees!$G$19,IF(D18="Hannes",Employees!$G$19,IF(D18="Johan",Employees!$G$20,"")))</f>
        <v>781</v>
      </c>
      <c r="F18" s="3">
        <v>8</v>
      </c>
      <c r="G18" s="183">
        <f t="shared" si="0"/>
        <v>1</v>
      </c>
      <c r="H18" s="185">
        <f t="shared" si="1"/>
        <v>6248</v>
      </c>
      <c r="I18" s="1"/>
      <c r="M18" s="3"/>
    </row>
    <row r="19" spans="1:14" ht="18" thickBot="1" x14ac:dyDescent="0.35">
      <c r="A19" s="259"/>
      <c r="B19" s="259"/>
      <c r="C19" s="1"/>
      <c r="D19" s="60"/>
      <c r="E19" s="60" t="str">
        <f>IF(D19="Dewald", Employees!$G$19,IF(D19="Hannes",Employees!$G$19,IF(D19="Johan",Employees!$G$20,"")))</f>
        <v/>
      </c>
      <c r="F19" s="185" t="str">
        <f>IF(C19="","",D19*C19)</f>
        <v/>
      </c>
      <c r="G19" s="183" t="str">
        <f t="shared" si="0"/>
        <v/>
      </c>
      <c r="H19" s="185" t="str">
        <f>IF(E19="","",F19*E19)</f>
        <v/>
      </c>
      <c r="I19" s="1"/>
      <c r="J19" s="240" t="s">
        <v>74</v>
      </c>
      <c r="K19" s="241"/>
      <c r="L19" s="242"/>
      <c r="M19" s="105">
        <f>H26/M15</f>
        <v>6248</v>
      </c>
    </row>
    <row r="20" spans="1:14" ht="17.25" x14ac:dyDescent="0.3">
      <c r="A20" s="182"/>
      <c r="D20" s="60"/>
      <c r="E20" s="60" t="str">
        <f>IF(D20="Dewald", Employees!$G$19,IF(D20="Hannes",Employees!$G$19,IF(D20="Johan",Employees!$G$20,"")))</f>
        <v/>
      </c>
      <c r="F20" s="3"/>
      <c r="G20" s="183" t="str">
        <f t="shared" si="0"/>
        <v/>
      </c>
      <c r="H20" s="185" t="str">
        <f t="shared" si="1"/>
        <v/>
      </c>
      <c r="I20" s="1"/>
      <c r="M20" s="96"/>
    </row>
    <row r="21" spans="1:14" ht="17.25" x14ac:dyDescent="0.3">
      <c r="A21" s="182"/>
      <c r="D21" s="60"/>
      <c r="E21" s="60" t="str">
        <f>IF(D21="Dewald", Employees!$G$19,IF(D21="Hannes",Employees!$G$19,IF(D21="Johan",Employees!$G$20,"")))</f>
        <v/>
      </c>
      <c r="F21" s="3"/>
      <c r="G21" s="183" t="str">
        <f t="shared" si="0"/>
        <v/>
      </c>
      <c r="H21" s="185"/>
      <c r="I21" s="1"/>
      <c r="M21" s="96"/>
    </row>
    <row r="22" spans="1:14" ht="18" thickBot="1" x14ac:dyDescent="0.35">
      <c r="A22" s="259"/>
      <c r="B22" s="259"/>
      <c r="D22" s="60"/>
      <c r="E22" s="60"/>
      <c r="F22" s="3"/>
      <c r="G22" s="183" t="str">
        <f t="shared" si="0"/>
        <v/>
      </c>
      <c r="H22" s="185"/>
      <c r="I22" s="1"/>
    </row>
    <row r="23" spans="1:14" ht="18" thickBot="1" x14ac:dyDescent="0.35">
      <c r="G23" s="183" t="str">
        <f t="shared" ref="G20:G23" si="2">IF(F23="","",F23/8)</f>
        <v/>
      </c>
      <c r="H23" s="159"/>
      <c r="I23" s="1"/>
      <c r="J23" s="100" t="s">
        <v>90</v>
      </c>
      <c r="K23" s="102" t="s">
        <v>84</v>
      </c>
      <c r="L23" s="103" t="s">
        <v>79</v>
      </c>
      <c r="M23" s="104" t="s">
        <v>82</v>
      </c>
      <c r="N23" s="101" t="s">
        <v>80</v>
      </c>
    </row>
    <row r="24" spans="1:14" ht="18" x14ac:dyDescent="0.3">
      <c r="A24" s="73"/>
      <c r="B24" s="73"/>
      <c r="D24" s="91"/>
      <c r="F24" s="91" t="s">
        <v>76</v>
      </c>
      <c r="G24" s="73"/>
      <c r="H24" s="184">
        <f>H15</f>
        <v>31240</v>
      </c>
      <c r="I24" s="1"/>
      <c r="J24" s="106">
        <f>H26</f>
        <v>31240</v>
      </c>
      <c r="K24" s="60">
        <f>J24*0.05</f>
        <v>1562</v>
      </c>
      <c r="L24" s="60">
        <f>J24-K24</f>
        <v>29678</v>
      </c>
      <c r="M24" s="106">
        <f>L24-N24</f>
        <v>17312.166666666664</v>
      </c>
      <c r="N24" s="108">
        <f>L24/2.4</f>
        <v>12365.833333333334</v>
      </c>
    </row>
    <row r="25" spans="1:14" ht="18.75" thickBot="1" x14ac:dyDescent="0.35">
      <c r="A25" s="73"/>
      <c r="B25" s="73"/>
      <c r="C25" s="73"/>
      <c r="F25" s="91" t="s">
        <v>75</v>
      </c>
      <c r="G25" s="74">
        <v>0</v>
      </c>
      <c r="H25" s="184">
        <f>H24*G25</f>
        <v>0</v>
      </c>
      <c r="I25" s="1"/>
      <c r="M25" s="96"/>
    </row>
    <row r="26" spans="1:14" ht="19.5" thickBot="1" x14ac:dyDescent="0.35">
      <c r="A26" s="1"/>
      <c r="B26" s="1"/>
      <c r="C26" s="1"/>
      <c r="D26" s="1"/>
      <c r="F26" s="134" t="s">
        <v>67</v>
      </c>
      <c r="G26" s="135"/>
      <c r="H26" s="186">
        <f>(H24-H25)</f>
        <v>31240</v>
      </c>
      <c r="I26" s="1"/>
      <c r="J26" s="99" t="s">
        <v>81</v>
      </c>
      <c r="K26" s="94"/>
      <c r="L26" s="94"/>
      <c r="M26" s="107">
        <f>M24*0.15</f>
        <v>2596.8249999999994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98" t="s">
        <v>83</v>
      </c>
      <c r="K28" s="94"/>
      <c r="L28" s="94"/>
      <c r="M28" s="107">
        <f>M24-M26</f>
        <v>14715.341666666665</v>
      </c>
    </row>
    <row r="29" spans="1:14" ht="18" thickBot="1" x14ac:dyDescent="0.35">
      <c r="H29" s="159"/>
      <c r="I29" s="1"/>
    </row>
    <row r="30" spans="1:14" ht="19.5" thickBot="1" x14ac:dyDescent="0.35">
      <c r="A30" s="194" t="s">
        <v>69</v>
      </c>
      <c r="B30" s="147"/>
      <c r="C30" s="148"/>
      <c r="D30" s="1"/>
      <c r="E30" s="3"/>
      <c r="F30" s="1"/>
      <c r="G30" s="1"/>
      <c r="H30" s="1"/>
      <c r="I30" s="1"/>
      <c r="J30" s="1"/>
      <c r="K30" s="93"/>
      <c r="M30" s="96"/>
    </row>
    <row r="31" spans="1:14" ht="18" thickBot="1" x14ac:dyDescent="0.35">
      <c r="A31" s="130" t="s">
        <v>59</v>
      </c>
      <c r="B31" s="121"/>
      <c r="C31" s="121"/>
      <c r="D31" s="121"/>
      <c r="E31" s="121"/>
      <c r="F31" s="121"/>
      <c r="G31" s="199"/>
      <c r="H31" s="122"/>
    </row>
    <row r="32" spans="1:14" ht="18" thickBot="1" x14ac:dyDescent="0.35">
      <c r="I32" s="1"/>
      <c r="J32" s="161" t="s">
        <v>109</v>
      </c>
      <c r="K32" s="161" t="s">
        <v>110</v>
      </c>
      <c r="L32" s="161" t="s">
        <v>111</v>
      </c>
      <c r="M32" s="60"/>
    </row>
    <row r="33" spans="1:13" ht="18" thickBot="1" x14ac:dyDescent="0.35">
      <c r="A33" s="149" t="s">
        <v>77</v>
      </c>
      <c r="B33" s="150"/>
      <c r="C33" s="71"/>
      <c r="D33" s="121" t="s">
        <v>61</v>
      </c>
      <c r="E33" s="121" t="s">
        <v>68</v>
      </c>
      <c r="F33" s="121" t="s">
        <v>70</v>
      </c>
      <c r="G33" s="198"/>
      <c r="H33" s="187">
        <f>SUM(H34:H38)</f>
        <v>33300</v>
      </c>
      <c r="I33" s="1"/>
      <c r="J33" s="162" t="s">
        <v>106</v>
      </c>
      <c r="K33" s="163">
        <v>0.6</v>
      </c>
      <c r="L33" s="164">
        <f>J24*K33</f>
        <v>18744</v>
      </c>
    </row>
    <row r="34" spans="1:13" ht="17.25" x14ac:dyDescent="0.3">
      <c r="A34" s="182" t="s">
        <v>42</v>
      </c>
      <c r="B34" s="182"/>
      <c r="C34" s="1"/>
      <c r="D34" s="60" t="s">
        <v>73</v>
      </c>
      <c r="E34" s="5">
        <v>110</v>
      </c>
      <c r="F34" s="1">
        <v>150</v>
      </c>
      <c r="G34" s="70"/>
      <c r="H34" s="185">
        <f>F34*E34</f>
        <v>16500</v>
      </c>
      <c r="I34" s="1"/>
      <c r="J34" s="162" t="s">
        <v>107</v>
      </c>
      <c r="K34" s="163">
        <v>0.32</v>
      </c>
      <c r="L34" s="164">
        <f>J24*K34</f>
        <v>9996.8000000000011</v>
      </c>
    </row>
    <row r="35" spans="1:13" ht="18" thickBot="1" x14ac:dyDescent="0.35">
      <c r="A35" s="182" t="s">
        <v>114</v>
      </c>
      <c r="B35" s="182"/>
      <c r="C35" s="1"/>
      <c r="D35" s="60" t="s">
        <v>73</v>
      </c>
      <c r="E35" s="5">
        <v>100</v>
      </c>
      <c r="F35" s="1">
        <v>150</v>
      </c>
      <c r="G35" s="70"/>
      <c r="H35" s="185">
        <f t="shared" ref="H35:H36" si="3">F35*E35</f>
        <v>15000</v>
      </c>
      <c r="J35" s="165" t="s">
        <v>108</v>
      </c>
      <c r="K35" s="166">
        <v>0.08</v>
      </c>
      <c r="L35" s="167">
        <f>J24*K35</f>
        <v>2499.2000000000003</v>
      </c>
      <c r="M35" s="1"/>
    </row>
    <row r="36" spans="1:13" ht="18" thickBot="1" x14ac:dyDescent="0.35">
      <c r="A36" s="182" t="s">
        <v>78</v>
      </c>
      <c r="B36" s="182"/>
      <c r="C36" s="1"/>
      <c r="D36" s="60" t="s">
        <v>73</v>
      </c>
      <c r="E36" s="5">
        <v>12</v>
      </c>
      <c r="F36" s="1">
        <v>150</v>
      </c>
      <c r="G36" s="70"/>
      <c r="H36" s="185">
        <f t="shared" si="3"/>
        <v>1800</v>
      </c>
      <c r="J36" s="168" t="s">
        <v>3</v>
      </c>
      <c r="K36" s="169">
        <f>SUM(K33:K35)</f>
        <v>0.99999999999999989</v>
      </c>
      <c r="L36" s="160">
        <f>SUM(L33:L35)</f>
        <v>31240.000000000004</v>
      </c>
      <c r="M36" s="1"/>
    </row>
    <row r="37" spans="1:13" ht="17.25" x14ac:dyDescent="0.3">
      <c r="A37" s="182" t="s">
        <v>118</v>
      </c>
      <c r="B37" s="182"/>
      <c r="D37" s="60" t="s">
        <v>73</v>
      </c>
      <c r="E37" s="5">
        <v>10</v>
      </c>
      <c r="F37" s="1">
        <v>0</v>
      </c>
      <c r="G37" s="1"/>
      <c r="H37" s="185">
        <f>F37*E37</f>
        <v>0</v>
      </c>
      <c r="M37" s="1"/>
    </row>
    <row r="38" spans="1:13" ht="17.25" x14ac:dyDescent="0.3">
      <c r="A38" s="182" t="s">
        <v>121</v>
      </c>
      <c r="B38" s="182"/>
      <c r="D38" s="60" t="s">
        <v>73</v>
      </c>
      <c r="E38" s="5">
        <v>12</v>
      </c>
      <c r="F38" s="1">
        <v>0</v>
      </c>
      <c r="G38" s="1"/>
      <c r="H38" s="185">
        <f>F38*E38</f>
        <v>0</v>
      </c>
      <c r="M38" s="1"/>
    </row>
    <row r="39" spans="1:13" ht="17.25" x14ac:dyDescent="0.3">
      <c r="M39" s="1"/>
    </row>
    <row r="40" spans="1:13" ht="18" x14ac:dyDescent="0.3">
      <c r="A40" s="73"/>
      <c r="C40" s="73"/>
      <c r="D40" s="73"/>
      <c r="F40" s="91" t="s">
        <v>115</v>
      </c>
      <c r="G40" s="73"/>
      <c r="H40" s="184">
        <f>H33</f>
        <v>33300</v>
      </c>
      <c r="J40" s="159"/>
      <c r="M40" s="1"/>
    </row>
    <row r="41" spans="1:13" ht="18.75" thickBot="1" x14ac:dyDescent="0.35">
      <c r="A41" s="73"/>
      <c r="B41" s="73"/>
      <c r="C41" s="73"/>
      <c r="E41" s="133"/>
      <c r="F41" s="91" t="s">
        <v>75</v>
      </c>
      <c r="G41" s="74">
        <v>0</v>
      </c>
      <c r="H41" s="4"/>
      <c r="J41" s="159"/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67</v>
      </c>
      <c r="H42" s="186">
        <f>H40</f>
        <v>33300</v>
      </c>
      <c r="L42" s="1"/>
      <c r="M42" s="93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195" t="s">
        <v>65</v>
      </c>
      <c r="B46" s="196"/>
      <c r="C46" s="197"/>
      <c r="D46" s="1"/>
      <c r="E46" s="1"/>
      <c r="F46" s="1"/>
      <c r="G46" s="1"/>
      <c r="H46" s="1"/>
      <c r="J46" t="s">
        <v>102</v>
      </c>
      <c r="K46" t="s">
        <v>103</v>
      </c>
      <c r="L46" t="s">
        <v>104</v>
      </c>
      <c r="M46" t="s">
        <v>105</v>
      </c>
    </row>
    <row r="47" spans="1:13" ht="18" thickBot="1" x14ac:dyDescent="0.35">
      <c r="A47" s="130" t="s">
        <v>13</v>
      </c>
      <c r="B47" s="121"/>
      <c r="C47" s="121"/>
      <c r="D47" s="191"/>
      <c r="E47" s="192"/>
      <c r="F47" s="121" t="s">
        <v>68</v>
      </c>
      <c r="G47" s="192" t="s">
        <v>14</v>
      </c>
      <c r="H47" s="193" t="s">
        <v>88</v>
      </c>
      <c r="J47" s="153" t="s">
        <v>94</v>
      </c>
      <c r="K47" s="158">
        <v>20000</v>
      </c>
      <c r="L47" s="92">
        <v>1</v>
      </c>
      <c r="M47" s="155">
        <f t="shared" ref="M47:M54" si="4">K47*L47</f>
        <v>20000</v>
      </c>
    </row>
    <row r="48" spans="1:13" ht="17.25" x14ac:dyDescent="0.3">
      <c r="A48" s="14"/>
      <c r="B48" s="14"/>
      <c r="C48" s="14"/>
      <c r="D48" s="14"/>
      <c r="E48" s="151"/>
      <c r="F48" s="151"/>
      <c r="G48" s="124"/>
      <c r="H48" s="151"/>
      <c r="J48" s="118" t="s">
        <v>95</v>
      </c>
      <c r="K48" s="159">
        <v>3000</v>
      </c>
      <c r="L48">
        <v>4</v>
      </c>
      <c r="M48" s="156">
        <f t="shared" si="4"/>
        <v>12000</v>
      </c>
    </row>
    <row r="49" spans="1:13" ht="17.25" x14ac:dyDescent="0.3">
      <c r="A49" s="1" t="s">
        <v>134</v>
      </c>
      <c r="B49" s="61"/>
      <c r="C49" s="4"/>
      <c r="D49" s="1"/>
      <c r="E49" s="60"/>
      <c r="F49" s="60">
        <v>8000</v>
      </c>
      <c r="G49" s="3">
        <v>150</v>
      </c>
      <c r="H49" s="60">
        <f>G49*F49</f>
        <v>1200000</v>
      </c>
      <c r="J49" s="118" t="s">
        <v>96</v>
      </c>
      <c r="K49" s="159">
        <v>5000</v>
      </c>
      <c r="L49">
        <v>2</v>
      </c>
      <c r="M49" s="156">
        <f t="shared" si="4"/>
        <v>10000</v>
      </c>
    </row>
    <row r="50" spans="1:13" ht="17.25" x14ac:dyDescent="0.3">
      <c r="A50" s="1"/>
      <c r="B50" s="61"/>
      <c r="F50" s="60"/>
      <c r="G50" s="3"/>
      <c r="H50" s="60"/>
      <c r="J50" s="118" t="s">
        <v>97</v>
      </c>
      <c r="K50" s="159">
        <v>8000</v>
      </c>
      <c r="L50">
        <v>1</v>
      </c>
      <c r="M50" s="156">
        <f t="shared" si="4"/>
        <v>8000</v>
      </c>
    </row>
    <row r="51" spans="1:13" ht="17.25" x14ac:dyDescent="0.3">
      <c r="A51" s="1"/>
      <c r="J51" s="118" t="s">
        <v>101</v>
      </c>
      <c r="K51" s="159">
        <v>5000</v>
      </c>
      <c r="L51">
        <v>1</v>
      </c>
      <c r="M51" s="156">
        <f t="shared" si="4"/>
        <v>5000</v>
      </c>
    </row>
    <row r="52" spans="1:13" ht="18" thickBot="1" x14ac:dyDescent="0.35">
      <c r="A52" s="1"/>
      <c r="B52" s="1"/>
      <c r="C52" s="1"/>
      <c r="D52" s="1" t="s">
        <v>132</v>
      </c>
      <c r="E52" s="60"/>
      <c r="F52" s="60"/>
      <c r="G52" s="3"/>
      <c r="H52" s="60"/>
      <c r="J52" s="118" t="s">
        <v>98</v>
      </c>
      <c r="K52" s="159">
        <v>2000</v>
      </c>
      <c r="L52">
        <v>1</v>
      </c>
      <c r="M52" s="156">
        <f t="shared" si="4"/>
        <v>2000</v>
      </c>
    </row>
    <row r="53" spans="1:13" ht="18" thickBot="1" x14ac:dyDescent="0.35">
      <c r="A53" s="1"/>
      <c r="B53" s="1"/>
      <c r="C53" s="1"/>
      <c r="D53" s="1"/>
      <c r="E53" s="120"/>
      <c r="F53" s="62" t="s">
        <v>3</v>
      </c>
      <c r="G53" s="63">
        <f>SUM(G48:G51)</f>
        <v>150</v>
      </c>
      <c r="H53" s="97">
        <f>SUM(H48:H52)</f>
        <v>1200000</v>
      </c>
      <c r="J53" s="118" t="s">
        <v>99</v>
      </c>
      <c r="K53" s="159">
        <v>7000</v>
      </c>
      <c r="L53">
        <v>1</v>
      </c>
      <c r="M53" s="156">
        <f t="shared" si="4"/>
        <v>7000</v>
      </c>
    </row>
    <row r="54" spans="1:13" ht="15.75" thickBot="1" x14ac:dyDescent="0.3">
      <c r="J54" s="118" t="s">
        <v>100</v>
      </c>
      <c r="K54" s="159">
        <v>15000</v>
      </c>
      <c r="L54">
        <v>1</v>
      </c>
      <c r="M54" s="156">
        <f t="shared" si="4"/>
        <v>15000</v>
      </c>
    </row>
    <row r="55" spans="1:13" ht="19.5" thickBot="1" x14ac:dyDescent="0.35">
      <c r="A55" s="205" t="s">
        <v>35</v>
      </c>
      <c r="B55" s="200"/>
      <c r="C55" s="200"/>
      <c r="D55" s="200"/>
      <c r="E55" s="233">
        <f>H53</f>
        <v>1200000</v>
      </c>
      <c r="F55" s="234"/>
      <c r="G55" s="234"/>
      <c r="H55" s="235"/>
      <c r="I55" s="1"/>
      <c r="J55" s="154"/>
      <c r="K55" s="119"/>
      <c r="L55" s="119"/>
      <c r="M55" s="157">
        <f>SUM(M47:M54)</f>
        <v>79000</v>
      </c>
    </row>
    <row r="56" spans="1:13" ht="18.75" x14ac:dyDescent="0.3">
      <c r="A56" s="202" t="s">
        <v>85</v>
      </c>
      <c r="B56" s="201"/>
      <c r="C56" s="201"/>
      <c r="D56" s="201"/>
      <c r="E56" s="236" t="s">
        <v>135</v>
      </c>
      <c r="F56" s="236"/>
      <c r="G56" s="236"/>
      <c r="H56" s="236"/>
    </row>
    <row r="57" spans="1:13" ht="15.75" thickBot="1" x14ac:dyDescent="0.3"/>
    <row r="58" spans="1:13" ht="20.25" thickBot="1" x14ac:dyDescent="0.3">
      <c r="A58" s="204" t="s">
        <v>44</v>
      </c>
      <c r="B58" s="59"/>
      <c r="C58" s="59"/>
      <c r="D58" s="59"/>
      <c r="E58" s="59"/>
      <c r="F58" s="59"/>
      <c r="G58" s="59"/>
      <c r="H58" s="129"/>
    </row>
    <row r="60" spans="1:13" ht="17.25" x14ac:dyDescent="0.25">
      <c r="A60" s="126" t="s">
        <v>21</v>
      </c>
      <c r="B60" s="127"/>
      <c r="C60" s="127"/>
      <c r="D60" s="128"/>
      <c r="E60" s="207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122193.97</v>
      </c>
      <c r="F60" s="131"/>
      <c r="G60" s="131"/>
      <c r="H60" s="132"/>
    </row>
    <row r="61" spans="1:13" ht="17.25" x14ac:dyDescent="0.25">
      <c r="A61" s="136" t="s">
        <v>49</v>
      </c>
      <c r="B61" s="61"/>
      <c r="C61" s="61"/>
      <c r="D61" s="137"/>
      <c r="E61" s="208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68364.87569999999</v>
      </c>
      <c r="F61" s="79"/>
      <c r="G61" s="79"/>
      <c r="H61" s="141"/>
    </row>
    <row r="62" spans="1:13" ht="17.25" x14ac:dyDescent="0.25">
      <c r="A62" s="136"/>
      <c r="B62" s="61"/>
      <c r="C62" s="61"/>
      <c r="D62" s="137"/>
      <c r="E62" s="208">
        <f>E60+E61</f>
        <v>190558.84570000001</v>
      </c>
      <c r="F62" s="79"/>
      <c r="G62" s="79"/>
      <c r="H62" s="141"/>
    </row>
    <row r="63" spans="1:13" ht="17.25" x14ac:dyDescent="0.25">
      <c r="A63" s="136" t="s">
        <v>52</v>
      </c>
      <c r="B63" s="61"/>
      <c r="C63" s="61"/>
      <c r="D63" s="137"/>
      <c r="E63" s="209">
        <v>0</v>
      </c>
      <c r="F63" s="4"/>
      <c r="G63" s="4"/>
      <c r="H63" s="144"/>
    </row>
    <row r="64" spans="1:13" ht="18" x14ac:dyDescent="0.25">
      <c r="A64" s="138" t="s">
        <v>54</v>
      </c>
      <c r="B64" s="139"/>
      <c r="C64" s="139"/>
      <c r="D64" s="140"/>
      <c r="E64" s="210">
        <f>E62+E63</f>
        <v>190558.84570000001</v>
      </c>
      <c r="F64" s="142"/>
      <c r="G64" s="142"/>
      <c r="H64" s="143"/>
    </row>
    <row r="65" spans="1:11" ht="15.75" thickBot="1" x14ac:dyDescent="0.3"/>
    <row r="66" spans="1:11" ht="19.5" thickBot="1" x14ac:dyDescent="0.35">
      <c r="A66" s="206" t="s">
        <v>36</v>
      </c>
      <c r="B66" s="145"/>
      <c r="C66" s="145"/>
      <c r="D66" s="146"/>
      <c r="E66" s="112" t="s">
        <v>37</v>
      </c>
      <c r="F66" s="112" t="s">
        <v>120</v>
      </c>
      <c r="G66" s="123" t="s">
        <v>66</v>
      </c>
      <c r="H66" s="112" t="s">
        <v>119</v>
      </c>
    </row>
    <row r="67" spans="1:11" ht="17.25" x14ac:dyDescent="0.3">
      <c r="A67" s="84" t="s">
        <v>127</v>
      </c>
      <c r="B67" s="124" t="s">
        <v>131</v>
      </c>
      <c r="C67" s="124"/>
      <c r="D67" s="124"/>
      <c r="E67" s="109">
        <v>0.02</v>
      </c>
      <c r="F67" s="83">
        <f>$E$64*E67</f>
        <v>3811.1769140000001</v>
      </c>
      <c r="G67" s="109">
        <v>0.3</v>
      </c>
      <c r="H67" s="110">
        <f>IF(G67=0,F67,F67-(F67*G67))</f>
        <v>2667.8238398000003</v>
      </c>
    </row>
    <row r="68" spans="1:11" ht="17.25" x14ac:dyDescent="0.3">
      <c r="A68" s="88" t="s">
        <v>126</v>
      </c>
      <c r="B68" s="3" t="s">
        <v>129</v>
      </c>
      <c r="C68" s="3"/>
      <c r="D68" s="3"/>
      <c r="E68" s="212">
        <v>0.15</v>
      </c>
      <c r="F68" s="5">
        <f t="shared" ref="F68:F73" si="5">$E$64*E68</f>
        <v>28583.826854999999</v>
      </c>
      <c r="G68" s="212">
        <v>0.3</v>
      </c>
      <c r="H68" s="87">
        <f t="shared" ref="H68:H73" si="6">IF(G68=0,F68,F68-(F68*G68))</f>
        <v>20008.678798499997</v>
      </c>
    </row>
    <row r="69" spans="1:11" ht="17.25" x14ac:dyDescent="0.3">
      <c r="A69" s="88" t="s">
        <v>125</v>
      </c>
      <c r="B69" s="3" t="s">
        <v>128</v>
      </c>
      <c r="C69" s="3"/>
      <c r="D69" s="3"/>
      <c r="E69" s="212">
        <v>0.2</v>
      </c>
      <c r="F69" s="5">
        <f t="shared" si="5"/>
        <v>38111.769140000004</v>
      </c>
      <c r="G69" s="212">
        <v>0.3</v>
      </c>
      <c r="H69" s="87">
        <f t="shared" si="6"/>
        <v>26678.238398000001</v>
      </c>
      <c r="J69" s="216"/>
    </row>
    <row r="70" spans="1:11" ht="17.25" x14ac:dyDescent="0.3">
      <c r="A70" s="88" t="s">
        <v>45</v>
      </c>
      <c r="B70" s="3" t="s">
        <v>46</v>
      </c>
      <c r="C70" s="3"/>
      <c r="D70" s="3"/>
      <c r="E70" s="212">
        <v>0.1</v>
      </c>
      <c r="F70" s="5">
        <f t="shared" si="5"/>
        <v>19055.884570000002</v>
      </c>
      <c r="G70" s="212">
        <v>0.2</v>
      </c>
      <c r="H70" s="87">
        <f t="shared" si="6"/>
        <v>15244.707656000002</v>
      </c>
      <c r="J70" s="216"/>
    </row>
    <row r="71" spans="1:11" ht="17.25" x14ac:dyDescent="0.3">
      <c r="A71" s="88" t="s">
        <v>57</v>
      </c>
      <c r="B71" s="3" t="s">
        <v>47</v>
      </c>
      <c r="C71" s="3"/>
      <c r="D71" s="3"/>
      <c r="E71" s="212">
        <v>0.2</v>
      </c>
      <c r="F71" s="5">
        <f t="shared" si="5"/>
        <v>38111.769140000004</v>
      </c>
      <c r="G71" s="212">
        <v>0.2</v>
      </c>
      <c r="H71" s="87">
        <f>IF(G71=0,F71,F71-(F71*G71))</f>
        <v>30489.415312000005</v>
      </c>
      <c r="J71" s="216"/>
    </row>
    <row r="72" spans="1:11" ht="17.25" x14ac:dyDescent="0.3">
      <c r="A72" s="88" t="s">
        <v>50</v>
      </c>
      <c r="B72" s="3" t="s">
        <v>130</v>
      </c>
      <c r="C72" s="3"/>
      <c r="D72" s="3"/>
      <c r="E72" s="212">
        <v>0.3</v>
      </c>
      <c r="F72" s="5">
        <f t="shared" si="5"/>
        <v>57167.653709999999</v>
      </c>
      <c r="G72" s="212">
        <v>0</v>
      </c>
      <c r="H72" s="87">
        <f>IF(G72=0,F72,F72-(F72*G72))</f>
        <v>57167.653709999999</v>
      </c>
      <c r="J72" s="216"/>
    </row>
    <row r="73" spans="1:11" ht="18" thickBot="1" x14ac:dyDescent="0.35">
      <c r="A73" s="89" t="s">
        <v>124</v>
      </c>
      <c r="B73" s="125" t="s">
        <v>123</v>
      </c>
      <c r="C73" s="125"/>
      <c r="D73" s="125"/>
      <c r="E73" s="111">
        <v>0.03</v>
      </c>
      <c r="F73" s="85">
        <f t="shared" si="5"/>
        <v>5716.7653709999995</v>
      </c>
      <c r="G73" s="111">
        <v>0</v>
      </c>
      <c r="H73" s="86">
        <f t="shared" si="6"/>
        <v>5716.7653709999995</v>
      </c>
      <c r="J73" s="217"/>
    </row>
    <row r="74" spans="1:11" ht="18" thickBot="1" x14ac:dyDescent="0.35">
      <c r="A74" s="1"/>
      <c r="B74" s="1"/>
      <c r="C74" s="1"/>
      <c r="F74" s="1"/>
      <c r="G74" s="3"/>
      <c r="H74" s="1"/>
    </row>
    <row r="75" spans="1:11" ht="19.5" thickBot="1" x14ac:dyDescent="0.35">
      <c r="A75" s="1"/>
      <c r="B75" s="1"/>
      <c r="C75" s="1"/>
      <c r="E75" s="224" t="s">
        <v>91</v>
      </c>
      <c r="F75" s="225"/>
      <c r="G75" s="226"/>
      <c r="H75" s="117">
        <f>H76*(1-(SUM(H67:H73)/H76))</f>
        <v>32585.562614700008</v>
      </c>
    </row>
    <row r="76" spans="1:11" ht="19.5" thickBot="1" x14ac:dyDescent="0.35">
      <c r="B76" s="113"/>
      <c r="C76" s="113"/>
      <c r="E76" s="224" t="s">
        <v>53</v>
      </c>
      <c r="F76" s="225"/>
      <c r="G76" s="226"/>
      <c r="H76" s="117">
        <f>SUM(F67:F73)</f>
        <v>190558.84570000001</v>
      </c>
    </row>
    <row r="77" spans="1:11" ht="15.75" thickBot="1" x14ac:dyDescent="0.3"/>
    <row r="78" spans="1:11" ht="18.75" thickBot="1" x14ac:dyDescent="0.3">
      <c r="E78" s="227" t="s">
        <v>116</v>
      </c>
      <c r="F78" s="228"/>
      <c r="G78" s="229"/>
      <c r="H78" s="114">
        <f>H76-H75</f>
        <v>157973.28308530001</v>
      </c>
    </row>
    <row r="79" spans="1:11" ht="17.25" x14ac:dyDescent="0.3">
      <c r="A79" s="1"/>
      <c r="B79" s="211"/>
      <c r="C79" s="188"/>
      <c r="D79" s="188"/>
      <c r="E79" s="60"/>
      <c r="F79" s="170"/>
      <c r="G79" s="4"/>
      <c r="H79" s="79"/>
    </row>
    <row r="80" spans="1:11" x14ac:dyDescent="0.25">
      <c r="K80" s="93"/>
    </row>
    <row r="81" spans="4:13" x14ac:dyDescent="0.25">
      <c r="D81" s="230"/>
      <c r="E81" s="230"/>
    </row>
    <row r="83" spans="4:13" x14ac:dyDescent="0.25">
      <c r="D83" s="230"/>
      <c r="E83" s="230"/>
      <c r="M83" s="159"/>
    </row>
    <row r="85" spans="4:13" x14ac:dyDescent="0.25">
      <c r="D85" s="230"/>
      <c r="E85" s="230"/>
      <c r="F85" s="230"/>
      <c r="G85" s="230"/>
    </row>
    <row r="86" spans="4:13" x14ac:dyDescent="0.25">
      <c r="D86" s="230"/>
      <c r="E86" s="230"/>
      <c r="F86" s="230"/>
      <c r="G86" s="230"/>
    </row>
    <row r="87" spans="4:13" x14ac:dyDescent="0.25">
      <c r="D87" s="230"/>
      <c r="E87" s="230"/>
      <c r="F87" s="230"/>
      <c r="G87" s="230"/>
    </row>
    <row r="88" spans="4:13" x14ac:dyDescent="0.25">
      <c r="D88" s="230"/>
      <c r="E88" s="230"/>
      <c r="F88" s="230"/>
      <c r="G88" s="230"/>
    </row>
    <row r="89" spans="4:13" x14ac:dyDescent="0.25">
      <c r="D89" s="230"/>
      <c r="E89" s="230"/>
      <c r="F89" s="230"/>
      <c r="G89" s="230"/>
    </row>
    <row r="90" spans="4:13" x14ac:dyDescent="0.25">
      <c r="D90" s="230"/>
      <c r="E90" s="230"/>
      <c r="F90" s="230"/>
      <c r="G90" s="230"/>
    </row>
    <row r="91" spans="4:13" x14ac:dyDescent="0.25">
      <c r="D91" s="230"/>
      <c r="E91" s="230"/>
      <c r="F91" s="230"/>
      <c r="G91" s="230"/>
    </row>
    <row r="92" spans="4:13" x14ac:dyDescent="0.25">
      <c r="D92" s="230"/>
      <c r="E92" s="230"/>
      <c r="F92" s="230"/>
      <c r="G92" s="230"/>
    </row>
    <row r="94" spans="4:13" ht="22.5" customHeight="1" x14ac:dyDescent="0.25">
      <c r="D94" s="230"/>
      <c r="E94" s="230"/>
      <c r="F94" s="230"/>
      <c r="G94" s="230"/>
    </row>
    <row r="96" spans="4:13" x14ac:dyDescent="0.25">
      <c r="J96" s="213"/>
      <c r="L96" s="159"/>
    </row>
    <row r="97" spans="4:14" x14ac:dyDescent="0.25">
      <c r="L97" s="213"/>
      <c r="M97" s="159"/>
    </row>
    <row r="99" spans="4:14" x14ac:dyDescent="0.25">
      <c r="M99" s="93"/>
    </row>
    <row r="102" spans="4:14" x14ac:dyDescent="0.25">
      <c r="N102" s="159"/>
    </row>
    <row r="105" spans="4:14" x14ac:dyDescent="0.25">
      <c r="K105" s="116"/>
    </row>
    <row r="106" spans="4:14" x14ac:dyDescent="0.25">
      <c r="K106" s="115"/>
    </row>
    <row r="107" spans="4:14" x14ac:dyDescent="0.25">
      <c r="D107" s="230"/>
      <c r="E107" s="230"/>
    </row>
    <row r="108" spans="4:14" x14ac:dyDescent="0.25">
      <c r="D108" s="230"/>
      <c r="E108" s="230"/>
    </row>
    <row r="109" spans="4:14" x14ac:dyDescent="0.25">
      <c r="D109" s="230"/>
      <c r="E109" s="230"/>
    </row>
  </sheetData>
  <mergeCells count="35">
    <mergeCell ref="J15:L15"/>
    <mergeCell ref="J19:L19"/>
    <mergeCell ref="B16:C16"/>
    <mergeCell ref="A11:H11"/>
    <mergeCell ref="A13:C13"/>
    <mergeCell ref="A14:C14"/>
    <mergeCell ref="A15:B15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</mergeCells>
  <phoneticPr fontId="25" type="noConversion"/>
  <dataValidations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34:D38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ignoredErrors>
    <ignoredError sqref="G1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781</v>
      </c>
      <c r="G5" s="5">
        <f>F5*G3</f>
        <v>7029</v>
      </c>
      <c r="H5" s="82">
        <f>G5+E5</f>
        <v>10802</v>
      </c>
    </row>
    <row r="7" spans="2:23" ht="18" thickBot="1" x14ac:dyDescent="0.35">
      <c r="B7" s="1" t="s">
        <v>86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85</v>
      </c>
      <c r="C10" s="3" t="s">
        <v>122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255" t="s">
        <v>44</v>
      </c>
      <c r="C13" s="256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253" t="s">
        <v>53</v>
      </c>
      <c r="O14" s="254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257" t="s">
        <v>18</v>
      </c>
      <c r="C24" s="257"/>
      <c r="D24" s="257"/>
      <c r="E24" s="257"/>
      <c r="F24" s="257"/>
      <c r="G24" s="257"/>
    </row>
    <row r="25" spans="2:12" x14ac:dyDescent="0.3">
      <c r="B25" s="258" t="s">
        <v>19</v>
      </c>
      <c r="C25" s="258" t="s">
        <v>20</v>
      </c>
      <c r="D25" s="258"/>
      <c r="E25" s="258" t="s">
        <v>21</v>
      </c>
      <c r="F25" s="258" t="s">
        <v>22</v>
      </c>
      <c r="G25" s="258"/>
      <c r="J25" s="175" t="s">
        <v>87</v>
      </c>
      <c r="K25" s="176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7">
        <f>VLOOKUP(K25,E29:G40,2,FALSE)</f>
        <v>0.15090000000000001</v>
      </c>
    </row>
    <row r="26" spans="2:12" x14ac:dyDescent="0.3">
      <c r="B26" s="258"/>
      <c r="C26" s="10"/>
      <c r="D26" s="10"/>
      <c r="E26" s="258"/>
      <c r="F26" s="10"/>
      <c r="G26" s="10"/>
      <c r="J26" s="77" t="s">
        <v>90</v>
      </c>
      <c r="K26" s="5">
        <f>K25+L27</f>
        <v>645285.77910000004</v>
      </c>
      <c r="L26" s="178">
        <f>VLOOKUP(K25,E29:G40,3,FALSE)</f>
        <v>2000001</v>
      </c>
    </row>
    <row r="27" spans="2:12" x14ac:dyDescent="0.3">
      <c r="B27" s="258"/>
      <c r="C27" s="10" t="s">
        <v>23</v>
      </c>
      <c r="D27" s="10" t="s">
        <v>24</v>
      </c>
      <c r="E27" s="258"/>
      <c r="F27" s="10" t="s">
        <v>25</v>
      </c>
      <c r="G27" s="10" t="s">
        <v>26</v>
      </c>
      <c r="J27" s="179"/>
      <c r="K27" s="180" t="s">
        <v>113</v>
      </c>
      <c r="L27" s="181">
        <f>(C9-L26)*L25</f>
        <v>241439.84910000002</v>
      </c>
    </row>
    <row r="28" spans="2:12" x14ac:dyDescent="0.3">
      <c r="B28" s="258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90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90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1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9" t="s">
        <v>22</v>
      </c>
      <c r="G44" s="190"/>
      <c r="J44" s="175" t="s">
        <v>87</v>
      </c>
      <c r="K44" s="176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7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7" t="s">
        <v>90</v>
      </c>
      <c r="K45" s="5">
        <f>K44+L46</f>
        <v>554246.71039999998</v>
      </c>
      <c r="L45" s="178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9"/>
      <c r="K46" s="180" t="s">
        <v>113</v>
      </c>
      <c r="L46" s="181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5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1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6"/>
      <c r="C60" s="172"/>
      <c r="D60" s="173"/>
      <c r="E60" s="172"/>
      <c r="F60" s="174"/>
      <c r="G60" s="172"/>
      <c r="L60" s="56"/>
    </row>
    <row r="61" spans="2:12" x14ac:dyDescent="0.3">
      <c r="K61" s="90"/>
      <c r="L61" s="64"/>
    </row>
    <row r="62" spans="2:12" x14ac:dyDescent="0.3">
      <c r="B62" s="58" t="s">
        <v>112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9" t="s">
        <v>22</v>
      </c>
      <c r="G63" s="190"/>
      <c r="J63" s="175" t="s">
        <v>87</v>
      </c>
      <c r="K63" s="176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7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7" t="s">
        <v>90</v>
      </c>
      <c r="K64" s="5">
        <f>K63+L65</f>
        <v>463207.63169999997</v>
      </c>
      <c r="L64" s="178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9"/>
      <c r="K65" s="180" t="s">
        <v>113</v>
      </c>
      <c r="L65" s="181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1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2025-02-03T10:08:42Z</dcterms:modified>
</cp:coreProperties>
</file>