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ald\Desktop\BACKUP\Admin\QUOTES\2024\De Serra\"/>
    </mc:Choice>
  </mc:AlternateContent>
  <xr:revisionPtr revIDLastSave="0" documentId="13_ncr:1_{696FC766-2745-4C5E-B771-7B9D7C138FFA}" xr6:coauthVersionLast="47" xr6:coauthVersionMax="47" xr10:uidLastSave="{00000000-0000-0000-0000-000000000000}"/>
  <bookViews>
    <workbookView xWindow="22932" yWindow="-192" windowWidth="23256" windowHeight="12456" activeTab="2" xr2:uid="{260A762B-E942-4A40-AAE5-7E980C9B525F}"/>
  </bookViews>
  <sheets>
    <sheet name="Employees" sheetId="1" r:id="rId1"/>
    <sheet name=" Fees (SDP)" sheetId="3" r:id="rId2"/>
    <sheet name="Fees (MS)" sheetId="5" r:id="rId3"/>
    <sheet name="4.2" sheetId="4" r:id="rId4"/>
    <sheet name="Dat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5" l="1"/>
  <c r="H19" i="5"/>
  <c r="H18" i="5"/>
  <c r="H36" i="5"/>
  <c r="G17" i="5" l="1"/>
  <c r="G16" i="5"/>
  <c r="H38" i="5"/>
  <c r="H34" i="5" s="1"/>
  <c r="H37" i="5"/>
  <c r="H102" i="5" l="1"/>
  <c r="I96" i="5"/>
  <c r="H96" i="5" s="1"/>
  <c r="K15" i="5" l="1"/>
  <c r="K23" i="5" s="1"/>
  <c r="F16" i="3" l="1"/>
  <c r="F20" i="3"/>
  <c r="F87" i="5"/>
  <c r="H59" i="5"/>
  <c r="E61" i="5" s="1"/>
  <c r="G59" i="5"/>
  <c r="G15" i="5"/>
  <c r="G15" i="3"/>
  <c r="F18" i="3"/>
  <c r="H18" i="3" s="1"/>
  <c r="F19" i="3"/>
  <c r="E18" i="3"/>
  <c r="F17" i="3"/>
  <c r="K78" i="3"/>
  <c r="H96" i="3"/>
  <c r="F81" i="3"/>
  <c r="H44" i="5" l="1"/>
  <c r="H46" i="5" s="1"/>
  <c r="H17" i="5"/>
  <c r="H16" i="5"/>
  <c r="F15" i="5"/>
  <c r="E66" i="5"/>
  <c r="E67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H15" i="5" l="1"/>
  <c r="H25" i="5" s="1"/>
  <c r="E68" i="5"/>
  <c r="E70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K21" i="1"/>
  <c r="F15" i="1"/>
  <c r="G15" i="1" s="1"/>
  <c r="C21" i="1" s="1"/>
  <c r="E21" i="1" s="1"/>
  <c r="G21" i="1" s="1"/>
  <c r="E17" i="3" s="1"/>
  <c r="H26" i="5" l="1"/>
  <c r="H27" i="5" s="1"/>
  <c r="K14" i="5" s="1"/>
  <c r="F79" i="5"/>
  <c r="H79" i="5" s="1"/>
  <c r="F78" i="5"/>
  <c r="H78" i="5" s="1"/>
  <c r="F76" i="5"/>
  <c r="H76" i="5" s="1"/>
  <c r="F74" i="5"/>
  <c r="H74" i="5" s="1"/>
  <c r="F77" i="5"/>
  <c r="H77" i="5" s="1"/>
  <c r="F75" i="5"/>
  <c r="H75" i="5" s="1"/>
  <c r="F73" i="5"/>
  <c r="L63" i="2"/>
  <c r="H33" i="3"/>
  <c r="H40" i="3" s="1"/>
  <c r="H42" i="3" s="1"/>
  <c r="L64" i="2"/>
  <c r="H53" i="3"/>
  <c r="M55" i="3"/>
  <c r="F15" i="3"/>
  <c r="H21" i="1"/>
  <c r="M15" i="3"/>
  <c r="K16" i="5" l="1"/>
  <c r="K19" i="5" s="1"/>
  <c r="K27" i="5"/>
  <c r="J38" i="5"/>
  <c r="K38" i="5" s="1"/>
  <c r="H87" i="5"/>
  <c r="H89" i="5" s="1"/>
  <c r="H82" i="5"/>
  <c r="H73" i="5"/>
  <c r="L65" i="2"/>
  <c r="K64" i="2" s="1"/>
  <c r="E55" i="3"/>
  <c r="E60" i="3" s="1"/>
  <c r="E61" i="3" s="1"/>
  <c r="E5" i="2"/>
  <c r="F14" i="1"/>
  <c r="G14" i="1" s="1"/>
  <c r="C20" i="1" s="1"/>
  <c r="F13" i="1"/>
  <c r="G13" i="1" s="1"/>
  <c r="C19" i="1" s="1"/>
  <c r="K22" i="5" l="1"/>
  <c r="K24" i="5" s="1"/>
  <c r="K28" i="5" s="1"/>
  <c r="K29" i="5" s="1"/>
  <c r="H93" i="5"/>
  <c r="H94" i="5"/>
  <c r="H92" i="5"/>
  <c r="H81" i="5"/>
  <c r="H84" i="5" s="1"/>
  <c r="E62" i="3"/>
  <c r="E64" i="3" s="1"/>
  <c r="E20" i="1"/>
  <c r="E19" i="1"/>
  <c r="G19" i="1" s="1"/>
  <c r="K25" i="2"/>
  <c r="K44" i="2"/>
  <c r="H100" i="5" l="1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G20" i="1"/>
  <c r="H19" i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H20" i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</calcChain>
</file>

<file path=xl/sharedStrings.xml><?xml version="1.0" encoding="utf-8"?>
<sst xmlns="http://schemas.openxmlformats.org/spreadsheetml/2006/main" count="362" uniqueCount="210">
  <si>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</si>
  <si>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</si>
  <si>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</si>
  <si>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</si>
  <si>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</si>
  <si>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</si>
  <si>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</si>
  <si>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</si>
  <si>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</si>
  <si>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</si>
  <si>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</si>
  <si>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</si>
  <si>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</si>
  <si>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</si>
  <si>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</si>
  <si>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</si>
  <si>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</si>
  <si>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</si>
  <si>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</si>
  <si>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</si>
  <si>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</si>
  <si>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</si>
  <si>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</si>
  <si>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</si>
  <si>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</si>
  <si>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</si>
  <si>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</si>
  <si>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</si>
  <si>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</si>
  <si>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</si>
  <si>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</si>
  <si>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</si>
  <si>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</si>
  <si>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</si>
  <si>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</si>
  <si>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</si>
  <si>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</si>
  <si>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</si>
  <si>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</si>
  <si>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</si>
  <si>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</si>
  <si>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</si>
  <si>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</si>
  <si>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</si>
  <si>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</si>
  <si>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</si>
  <si>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</si>
  <si>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</si>
  <si>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</si>
  <si>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</si>
  <si>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</si>
  <si>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</si>
  <si>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</si>
  <si>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</si>
  <si>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</si>
  <si>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</si>
  <si>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</si>
  <si>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</si>
  <si>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</si>
  <si>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</si>
  <si>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</si>
  <si>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</si>
  <si>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</si>
  <si>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</si>
  <si>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</si>
  <si>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</si>
  <si>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</si>
  <si>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</si>
  <si>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</si>
  <si>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</si>
  <si>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</si>
  <si>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</si>
  <si>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</si>
  <si>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</si>
  <si>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</si>
  <si>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</si>
  <si>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</si>
  <si>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</si>
  <si>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</si>
  <si>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</si>
  <si>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</si>
  <si>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</si>
  <si>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</si>
  <si>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</si>
  <si>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</si>
  <si>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</si>
  <si>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</si>
  <si>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</si>
  <si>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</si>
  <si>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</si>
  <si>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</si>
  <si>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</si>
  <si>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</si>
  <si>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</si>
  <si>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</si>
  <si>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</si>
  <si>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</si>
  <si>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</si>
  <si>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</si>
  <si>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</si>
  <si>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</si>
  <si>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</si>
  <si>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</si>
  <si>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</si>
  <si>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</si>
  <si>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</si>
  <si>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</si>
  <si>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</si>
  <si>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</si>
  <si>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</si>
  <si>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</si>
  <si>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</si>
  <si>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</si>
  <si>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</si>
  <si>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</si>
  <si>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</si>
  <si>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</si>
  <si>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</si>
  <si>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</si>
  <si>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</si>
  <si>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</si>
  <si>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</si>
  <si>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</si>
  <si>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</si>
  <si>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</si>
  <si>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</si>
  <si>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</si>
  <si>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</si>
  <si>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</si>
  <si>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</si>
  <si>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</si>
  <si>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</si>
  <si>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</si>
  <si>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</si>
  <si>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</si>
  <si>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</si>
  <si>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</si>
  <si>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</si>
  <si>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</si>
  <si>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</si>
  <si>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</si>
  <si>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</si>
  <si>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</si>
  <si>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</si>
  <si>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</si>
  <si>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</si>
  <si>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</si>
  <si>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</si>
  <si>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</si>
  <si>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</si>
  <si>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</si>
  <si>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</si>
  <si>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</si>
  <si>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</si>
  <si>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</si>
  <si>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</si>
  <si>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</si>
  <si>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</si>
  <si>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</si>
  <si>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</si>
  <si>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</si>
  <si>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</si>
  <si>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</si>
  <si>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</si>
  <si>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</si>
  <si>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</si>
  <si>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</si>
  <si>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</si>
  <si>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</si>
  <si>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</si>
  <si>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</si>
  <si>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</si>
  <si>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</si>
  <si>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</si>
  <si>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</si>
  <si>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</si>
  <si>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</si>
  <si>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</si>
  <si>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</si>
  <si>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</si>
  <si>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</si>
  <si>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</si>
  <si>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</si>
  <si>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Site visits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</si>
  <si>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</si>
  <si>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</si>
  <si>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</si>
  <si>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</si>
  <si>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</si>
  <si>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</si>
  <si>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</si>
  <si>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</si>
  <si>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</si>
  <si>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</si>
  <si>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</si>
  <si>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</si>
  <si>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</si>
  <si>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</si>
  <si>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</si>
  <si>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</si>
  <si>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</si>
  <si>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</si>
  <si>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Additions</t>
  </si>
  <si>
    <t>Change drawings</t>
  </si>
  <si>
    <t>Admin + Travel</t>
  </si>
  <si>
    <t>Staff</t>
  </si>
  <si>
    <t>Carport</t>
  </si>
  <si>
    <t>New Roof</t>
  </si>
  <si>
    <t>Internal changes</t>
  </si>
  <si>
    <t>Outbuilding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</si>
</sst>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  <numFmt numFmtId="172" formatCode="General&quot; Days&quot;"/>
    <numFmt numFmtId="173" formatCode="General&quot; km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172" fontId="4" fillId="0" borderId="56" xfId="0" applyNumberFormat="1" applyFont="1" applyBorder="1" applyAlignment="1">
      <alignment horizontal="center"/>
    </xf>
    <xf numFmtId="8" fontId="0" fillId="0" borderId="0" xfId="0" applyNumberFormat="1"/>
    <xf numFmtId="173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3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 vertical="center"/>
    </xf>
    <xf numFmtId="44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left"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6" xfId="0" applyFont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11" borderId="53" xfId="0" applyFont="1" applyFill="1" applyBorder="1" applyAlignment="1">
      <alignment horizontal="center"/>
    </xf>
    <xf numFmtId="0" fontId="4" fillId="11" borderId="24" xfId="0" applyFont="1" applyFill="1" applyBorder="1" applyAlignment="1">
      <alignment horizontal="center"/>
    </xf>
    <xf numFmtId="44" fontId="8" fillId="11" borderId="53" xfId="0" applyNumberFormat="1" applyFont="1" applyFill="1" applyBorder="1" applyAlignment="1">
      <alignment horizontal="center" vertical="top"/>
    </xf>
    <xf numFmtId="44" fontId="8" fillId="11" borderId="24" xfId="0" applyNumberFormat="1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21" sqref="G21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1"/>
      <c r="B1" s="221"/>
      <c r="C1" s="221"/>
      <c r="D1" s="221"/>
      <c r="E1" s="221"/>
      <c r="F1" s="221"/>
      <c r="G1" s="221"/>
    </row>
    <row r="2" spans="1:11" x14ac:dyDescent="0.3">
      <c r="A2" s="221"/>
      <c r="B2" s="221"/>
      <c r="C2" s="221"/>
      <c r="D2" s="221"/>
      <c r="E2" s="221"/>
      <c r="F2" s="221"/>
      <c r="G2" s="221"/>
    </row>
    <row r="3" spans="1:11" x14ac:dyDescent="0.3">
      <c r="A3" s="221"/>
      <c r="B3" s="221"/>
      <c r="C3" s="221"/>
      <c r="D3" s="221"/>
      <c r="E3" s="221"/>
      <c r="F3" s="221"/>
      <c r="G3" s="221"/>
    </row>
    <row r="4" spans="1:11" x14ac:dyDescent="0.3">
      <c r="A4" s="221"/>
      <c r="B4" s="221"/>
      <c r="C4" s="221"/>
      <c r="D4" s="221"/>
      <c r="E4" s="221"/>
      <c r="F4" s="221"/>
      <c r="G4" s="221"/>
    </row>
    <row r="5" spans="1:11" x14ac:dyDescent="0.3">
      <c r="A5" s="221"/>
      <c r="B5" s="221"/>
      <c r="C5" s="221"/>
      <c r="D5" s="221"/>
      <c r="E5" s="221"/>
      <c r="F5" s="221"/>
      <c r="G5" s="221"/>
    </row>
    <row r="6" spans="1:11" x14ac:dyDescent="0.3">
      <c r="A6" s="221"/>
      <c r="B6" s="221"/>
      <c r="C6" s="221"/>
      <c r="D6" s="221"/>
      <c r="E6" s="221"/>
      <c r="F6" s="221"/>
      <c r="G6" s="221"/>
    </row>
    <row r="7" spans="1:11" x14ac:dyDescent="0.3">
      <c r="A7" s="221"/>
      <c r="B7" s="221"/>
      <c r="C7" s="221"/>
      <c r="D7" s="221"/>
      <c r="E7" s="221"/>
      <c r="F7" s="221"/>
      <c r="G7" s="221"/>
    </row>
    <row r="8" spans="1:11" x14ac:dyDescent="0.3">
      <c r="A8" s="221"/>
      <c r="B8" s="221"/>
      <c r="C8" s="221"/>
      <c r="D8" s="221"/>
      <c r="E8" s="221"/>
      <c r="F8" s="221"/>
      <c r="G8" s="221"/>
    </row>
    <row r="9" spans="1:11" x14ac:dyDescent="0.3">
      <c r="A9" s="221"/>
      <c r="B9" s="221"/>
      <c r="C9" s="221"/>
      <c r="D9" s="221"/>
      <c r="E9" s="221"/>
      <c r="F9" s="221"/>
      <c r="G9" s="221"/>
    </row>
    <row r="10" spans="1:11" x14ac:dyDescent="0.3">
      <c r="A10" s="221"/>
      <c r="B10" s="221"/>
      <c r="C10" s="221"/>
      <c r="D10" s="221"/>
      <c r="E10" s="221"/>
      <c r="F10" s="221"/>
      <c r="G10" s="221"/>
    </row>
    <row r="11" spans="1:11" ht="21" thickBot="1" x14ac:dyDescent="0.35">
      <c r="A11" s="298" t="s">
        <v>7</v>
      </c>
      <c r="B11" s="299"/>
      <c r="C11" s="299"/>
      <c r="D11" s="299"/>
      <c r="E11" s="299"/>
      <c r="F11" s="299"/>
      <c r="G11" s="299"/>
      <c r="I11" s="220"/>
    </row>
    <row r="12" spans="1:11" ht="18.75" customHeight="1" thickBot="1" x14ac:dyDescent="0.35">
      <c r="A12" s="100" t="s">
        <v>93</v>
      </c>
      <c r="B12" s="130" t="s">
        <v>1</v>
      </c>
      <c r="C12" s="99" t="s">
        <v>0</v>
      </c>
      <c r="D12" s="133" t="s">
        <v>125</v>
      </c>
      <c r="E12" s="302" t="s">
        <v>11</v>
      </c>
      <c r="F12" s="302"/>
      <c r="G12" s="226" t="s">
        <v>4</v>
      </c>
    </row>
    <row r="13" spans="1:11" x14ac:dyDescent="0.3">
      <c r="A13" s="165">
        <v>1</v>
      </c>
      <c r="B13" s="222" t="s">
        <v>5</v>
      </c>
      <c r="C13" s="118" t="s">
        <v>2</v>
      </c>
      <c r="D13" s="128">
        <v>40870</v>
      </c>
      <c r="E13" s="217">
        <v>0.15</v>
      </c>
      <c r="F13" s="128">
        <f>D13*E13</f>
        <v>6130.5</v>
      </c>
      <c r="G13" s="225">
        <f>D13+F13</f>
        <v>47000.5</v>
      </c>
      <c r="H13" s="118"/>
      <c r="I13" s="128"/>
    </row>
    <row r="14" spans="1:11" x14ac:dyDescent="0.3">
      <c r="A14" s="165">
        <v>2</v>
      </c>
      <c r="B14" s="219" t="s">
        <v>6</v>
      </c>
      <c r="C14" s="118" t="s">
        <v>2</v>
      </c>
      <c r="D14" s="223">
        <v>38000</v>
      </c>
      <c r="E14" s="217">
        <v>0.15</v>
      </c>
      <c r="F14" s="128">
        <f>D14*E14</f>
        <v>5700</v>
      </c>
      <c r="G14" s="128">
        <f>D14+F14</f>
        <v>43700</v>
      </c>
      <c r="H14" s="118"/>
      <c r="I14" s="118"/>
    </row>
    <row r="15" spans="1:11" x14ac:dyDescent="0.3">
      <c r="A15" s="165">
        <v>3</v>
      </c>
      <c r="B15" s="118" t="s">
        <v>99</v>
      </c>
      <c r="C15" s="118" t="s">
        <v>98</v>
      </c>
      <c r="D15" s="223">
        <v>24000</v>
      </c>
      <c r="E15" s="217">
        <v>0.15</v>
      </c>
      <c r="F15" s="128">
        <f>D15*E15</f>
        <v>3600</v>
      </c>
      <c r="G15" s="128">
        <f>D15+F15</f>
        <v>27600</v>
      </c>
      <c r="H15" s="118" t="s">
        <v>100</v>
      </c>
      <c r="I15" s="118"/>
    </row>
    <row r="16" spans="1:11" x14ac:dyDescent="0.3">
      <c r="A16" s="4"/>
      <c r="K16"/>
    </row>
    <row r="17" spans="1:12" ht="21" thickBot="1" x14ac:dyDescent="0.35">
      <c r="A17" s="300" t="s">
        <v>8</v>
      </c>
      <c r="B17" s="300"/>
      <c r="C17" s="300"/>
      <c r="D17" s="300"/>
      <c r="E17" s="300"/>
      <c r="F17" s="300"/>
      <c r="G17" s="300"/>
      <c r="K17"/>
    </row>
    <row r="18" spans="1:12" ht="18" thickBot="1" x14ac:dyDescent="0.35">
      <c r="A18" s="90" t="s">
        <v>93</v>
      </c>
      <c r="B18" s="131" t="s">
        <v>9</v>
      </c>
      <c r="C18" s="101" t="s">
        <v>12</v>
      </c>
      <c r="D18" s="131" t="s">
        <v>10</v>
      </c>
      <c r="E18" s="101" t="s">
        <v>94</v>
      </c>
      <c r="F18" s="102" t="s">
        <v>73</v>
      </c>
      <c r="G18" s="132" t="s">
        <v>13</v>
      </c>
      <c r="H18" s="125" t="s">
        <v>74</v>
      </c>
      <c r="I18" s="123"/>
      <c r="J18" s="124"/>
      <c r="K18"/>
    </row>
    <row r="19" spans="1:12" x14ac:dyDescent="0.3">
      <c r="A19" s="165">
        <v>1</v>
      </c>
      <c r="B19" s="219">
        <v>21</v>
      </c>
      <c r="C19" s="223">
        <f>G13/B19</f>
        <v>2238.1190476190477</v>
      </c>
      <c r="D19" s="219">
        <v>8</v>
      </c>
      <c r="E19" s="218">
        <f>C19/D19</f>
        <v>279.76488095238096</v>
      </c>
      <c r="F19" s="219">
        <v>2.4</v>
      </c>
      <c r="G19" s="224">
        <f>ROUNDUP(E19*F19,-0.5)</f>
        <v>672</v>
      </c>
      <c r="H19" s="301">
        <f>G19*D19</f>
        <v>5376</v>
      </c>
      <c r="I19" s="301"/>
      <c r="J19" s="301"/>
      <c r="K19" s="118" t="s">
        <v>97</v>
      </c>
      <c r="L19" s="118" t="s">
        <v>2</v>
      </c>
    </row>
    <row r="20" spans="1:12" x14ac:dyDescent="0.3">
      <c r="A20" s="165">
        <v>2</v>
      </c>
      <c r="B20" s="219">
        <v>21</v>
      </c>
      <c r="C20" s="223">
        <f>G14/B20</f>
        <v>2080.9523809523807</v>
      </c>
      <c r="D20" s="219">
        <v>8</v>
      </c>
      <c r="E20" s="218">
        <f>C20/D20</f>
        <v>260.11904761904759</v>
      </c>
      <c r="F20" s="219">
        <v>2.4</v>
      </c>
      <c r="G20" s="224">
        <f>ROUNDUP(E20*F20,-0.5)</f>
        <v>625</v>
      </c>
      <c r="H20" s="297">
        <f>G20*D20</f>
        <v>5000</v>
      </c>
      <c r="I20" s="297"/>
      <c r="J20" s="297"/>
      <c r="K20" s="118" t="s">
        <v>77</v>
      </c>
      <c r="L20" s="118" t="s">
        <v>2</v>
      </c>
    </row>
    <row r="21" spans="1:12" x14ac:dyDescent="0.3">
      <c r="A21" s="165">
        <v>3</v>
      </c>
      <c r="B21" s="118">
        <v>21</v>
      </c>
      <c r="C21" s="128">
        <f>G15/B21</f>
        <v>1314.2857142857142</v>
      </c>
      <c r="D21" s="219">
        <v>8</v>
      </c>
      <c r="E21" s="218">
        <f>C21/D21</f>
        <v>164.28571428571428</v>
      </c>
      <c r="F21" s="118">
        <v>2.4</v>
      </c>
      <c r="G21" s="224">
        <f>ROUNDUP(E21*F21,-0.5)</f>
        <v>395</v>
      </c>
      <c r="H21" s="297">
        <f>G21*D21</f>
        <v>3160</v>
      </c>
      <c r="I21" s="297"/>
      <c r="J21" s="297"/>
      <c r="K21" s="118" t="str">
        <f>B15</f>
        <v>Johan Hugo</v>
      </c>
      <c r="L21" s="118" t="s">
        <v>101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328" t="s">
        <v>14</v>
      </c>
      <c r="B11" s="329"/>
      <c r="C11" s="329"/>
      <c r="D11" s="329"/>
      <c r="E11" s="329"/>
      <c r="F11" s="329"/>
      <c r="G11" s="329"/>
      <c r="H11" s="330"/>
      <c r="I11" s="1"/>
      <c r="J11" s="1"/>
      <c r="K11" s="3" t="s">
        <v>182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31" t="s">
        <v>65</v>
      </c>
      <c r="B13" s="332"/>
      <c r="C13" s="333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334" t="s">
        <v>61</v>
      </c>
      <c r="B14" s="311"/>
      <c r="C14" s="311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335" t="s">
        <v>81</v>
      </c>
      <c r="B15" s="336"/>
      <c r="C15" s="71"/>
      <c r="D15" s="71"/>
      <c r="E15" s="71"/>
      <c r="F15" s="76">
        <f>SUM(F16:F29)</f>
        <v>84</v>
      </c>
      <c r="G15" s="270">
        <f>SUM(G16:G22)</f>
        <v>10.5</v>
      </c>
      <c r="H15" s="201">
        <f>SUM(H16:H22)</f>
        <v>39620</v>
      </c>
      <c r="I15" s="1"/>
      <c r="J15" s="321" t="s">
        <v>75</v>
      </c>
      <c r="K15" s="322"/>
      <c r="L15" s="323"/>
      <c r="M15" s="166">
        <f>G15</f>
        <v>10.5</v>
      </c>
    </row>
    <row r="16" spans="1:13" ht="17.25" x14ac:dyDescent="0.3">
      <c r="A16" s="196" t="s">
        <v>180</v>
      </c>
      <c r="B16" s="327"/>
      <c r="C16" s="327"/>
      <c r="D16" s="60" t="s">
        <v>77</v>
      </c>
      <c r="E16" s="60">
        <f>IF(D16="Dewald", Employees!$G$20,IF(D16="Hannes",Employees!$G$19,IF(D16="Johan",Employees!$G$21,"")))</f>
        <v>625</v>
      </c>
      <c r="F16" s="3">
        <f>G16*8</f>
        <v>4</v>
      </c>
      <c r="G16" s="197">
        <v>0.5</v>
      </c>
      <c r="H16" s="199">
        <f>F16*E16</f>
        <v>2500</v>
      </c>
      <c r="I16" s="1"/>
      <c r="M16" s="3"/>
    </row>
    <row r="17" spans="1:14" ht="17.25" x14ac:dyDescent="0.3">
      <c r="A17" s="303" t="s">
        <v>177</v>
      </c>
      <c r="B17" s="303"/>
      <c r="C17" s="1"/>
      <c r="D17" s="60" t="s">
        <v>130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197">
        <v>5</v>
      </c>
      <c r="H17" s="199">
        <f t="shared" ref="H17:H18" si="0">F17*E17</f>
        <v>15800</v>
      </c>
      <c r="I17" s="1"/>
      <c r="M17" s="3"/>
    </row>
    <row r="18" spans="1:14" ht="18" thickBot="1" x14ac:dyDescent="0.35">
      <c r="A18" s="303" t="s">
        <v>178</v>
      </c>
      <c r="B18" s="303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16</v>
      </c>
      <c r="G18" s="197">
        <v>2</v>
      </c>
      <c r="H18" s="199">
        <f t="shared" si="0"/>
        <v>6320</v>
      </c>
      <c r="I18" s="1"/>
      <c r="M18" s="3"/>
    </row>
    <row r="19" spans="1:14" ht="18" thickBot="1" x14ac:dyDescent="0.35">
      <c r="A19" s="303" t="s">
        <v>181</v>
      </c>
      <c r="B19" s="303"/>
      <c r="C19" s="1"/>
      <c r="D19" s="60" t="s">
        <v>77</v>
      </c>
      <c r="E19" s="60">
        <f>IF(D19="Dewald", Employees!$G$20,IF(D19="Hannes",Employees!$G$19,IF(D19="Johan",Employees!$G$21,"")))</f>
        <v>625</v>
      </c>
      <c r="F19" s="3">
        <f>G19*8</f>
        <v>20</v>
      </c>
      <c r="G19" s="197">
        <v>2.5</v>
      </c>
      <c r="H19" s="199">
        <f>F19*E19</f>
        <v>12500</v>
      </c>
      <c r="I19" s="1"/>
      <c r="J19" s="324" t="s">
        <v>78</v>
      </c>
      <c r="K19" s="325"/>
      <c r="L19" s="326"/>
      <c r="M19" s="110">
        <f>H26/M15</f>
        <v>3773.3333333333335</v>
      </c>
    </row>
    <row r="20" spans="1:14" ht="17.25" x14ac:dyDescent="0.3">
      <c r="A20" s="196" t="s">
        <v>179</v>
      </c>
      <c r="D20" s="60" t="s">
        <v>77</v>
      </c>
      <c r="E20" s="60">
        <v>625</v>
      </c>
      <c r="F20" s="3">
        <f>G20*8</f>
        <v>4</v>
      </c>
      <c r="G20" s="197">
        <v>0.5</v>
      </c>
      <c r="H20" s="199">
        <f>F20*E20</f>
        <v>2500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303"/>
      <c r="B22" s="303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39620</v>
      </c>
      <c r="I24" s="1"/>
      <c r="J24" s="111">
        <f>H26</f>
        <v>39620</v>
      </c>
      <c r="K24" s="60">
        <f>J24*0.05</f>
        <v>1981</v>
      </c>
      <c r="L24" s="60">
        <f>J24-K24</f>
        <v>37639</v>
      </c>
      <c r="M24" s="111">
        <f>L24-N24</f>
        <v>21956.083333333332</v>
      </c>
      <c r="N24" s="113">
        <f>L24/2.4</f>
        <v>15682.916666666668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39620</v>
      </c>
      <c r="I26" s="1"/>
      <c r="J26" s="104" t="s">
        <v>85</v>
      </c>
      <c r="K26" s="95"/>
      <c r="L26" s="95"/>
      <c r="M26" s="112">
        <f>M24*0.15</f>
        <v>3293.4124999999999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18662.670833333334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SUM(H34:H38)</f>
        <v>77350</v>
      </c>
      <c r="I33" s="1"/>
      <c r="J33" s="176" t="s">
        <v>114</v>
      </c>
      <c r="K33" s="177">
        <v>0.6</v>
      </c>
      <c r="L33" s="178">
        <f>J24*K33</f>
        <v>23772</v>
      </c>
    </row>
    <row r="34" spans="1:13" ht="17.25" x14ac:dyDescent="0.3">
      <c r="A34" s="196" t="s">
        <v>44</v>
      </c>
      <c r="B34" s="196"/>
      <c r="C34" s="1"/>
      <c r="D34" s="60" t="s">
        <v>77</v>
      </c>
      <c r="E34" s="5">
        <v>110</v>
      </c>
      <c r="F34" s="1">
        <v>325</v>
      </c>
      <c r="G34" s="70"/>
      <c r="H34" s="199">
        <f>F34*E34</f>
        <v>35750</v>
      </c>
      <c r="I34" s="1"/>
      <c r="J34" s="176" t="s">
        <v>115</v>
      </c>
      <c r="K34" s="177">
        <v>0.32</v>
      </c>
      <c r="L34" s="178">
        <f>J24*K34</f>
        <v>12678.4</v>
      </c>
    </row>
    <row r="35" spans="1:13" ht="18" thickBot="1" x14ac:dyDescent="0.35">
      <c r="A35" s="196" t="s">
        <v>122</v>
      </c>
      <c r="B35" s="196"/>
      <c r="C35" s="1"/>
      <c r="D35" s="60" t="s">
        <v>77</v>
      </c>
      <c r="E35" s="5">
        <v>100</v>
      </c>
      <c r="F35" s="1">
        <v>325</v>
      </c>
      <c r="G35" s="70"/>
      <c r="H35" s="199">
        <f t="shared" ref="H35:H36" si="1">F35*E35</f>
        <v>32500</v>
      </c>
      <c r="J35" s="179" t="s">
        <v>116</v>
      </c>
      <c r="K35" s="180">
        <v>0.08</v>
      </c>
      <c r="L35" s="181">
        <f>J24*K35</f>
        <v>3169.6</v>
      </c>
      <c r="M35" s="1"/>
    </row>
    <row r="36" spans="1:13" ht="18" thickBot="1" x14ac:dyDescent="0.35">
      <c r="A36" s="196" t="s">
        <v>82</v>
      </c>
      <c r="B36" s="196"/>
      <c r="C36" s="1"/>
      <c r="D36" s="60" t="s">
        <v>77</v>
      </c>
      <c r="E36" s="5">
        <v>6</v>
      </c>
      <c r="F36" s="1">
        <v>325</v>
      </c>
      <c r="G36" s="70"/>
      <c r="H36" s="199">
        <f t="shared" si="1"/>
        <v>1950</v>
      </c>
      <c r="J36" s="182" t="s">
        <v>3</v>
      </c>
      <c r="K36" s="183">
        <f>SUM(K33:K35)</f>
        <v>0.99999999999999989</v>
      </c>
      <c r="L36" s="174">
        <f>SUM(L33:L35)</f>
        <v>39620</v>
      </c>
      <c r="M36" s="1"/>
    </row>
    <row r="37" spans="1:13" ht="17.25" x14ac:dyDescent="0.3">
      <c r="A37" s="196" t="s">
        <v>126</v>
      </c>
      <c r="B37" s="196"/>
      <c r="D37" s="60" t="s">
        <v>77</v>
      </c>
      <c r="E37" s="5">
        <v>10</v>
      </c>
      <c r="F37" s="1">
        <v>325</v>
      </c>
      <c r="G37" s="1"/>
      <c r="H37" s="199">
        <f>F37*E37</f>
        <v>3250</v>
      </c>
      <c r="M37" s="1"/>
    </row>
    <row r="38" spans="1:13" ht="17.25" x14ac:dyDescent="0.3">
      <c r="A38" s="196" t="s">
        <v>129</v>
      </c>
      <c r="B38" s="196"/>
      <c r="D38" s="60" t="s">
        <v>77</v>
      </c>
      <c r="E38" s="5">
        <v>12</v>
      </c>
      <c r="F38" s="1">
        <v>325</v>
      </c>
      <c r="G38" s="1"/>
      <c r="H38" s="199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123</v>
      </c>
      <c r="G40" s="73"/>
      <c r="H40" s="198">
        <f>H33</f>
        <v>77350</v>
      </c>
      <c r="J40" s="173"/>
      <c r="M40" s="1"/>
    </row>
    <row r="41" spans="1:13" ht="18.75" thickBot="1" x14ac:dyDescent="0.35">
      <c r="A41" s="73"/>
      <c r="B41" s="73"/>
      <c r="C41" s="73"/>
      <c r="E41" s="146"/>
      <c r="F41" s="92" t="s">
        <v>79</v>
      </c>
      <c r="G41" s="74">
        <v>0</v>
      </c>
      <c r="H41" s="4"/>
      <c r="J41" s="173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69</v>
      </c>
      <c r="H42" s="200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9" t="s">
        <v>67</v>
      </c>
      <c r="B46" s="210"/>
      <c r="C46" s="211"/>
      <c r="D46" s="1"/>
      <c r="E46" s="1"/>
      <c r="F46" s="1"/>
      <c r="G46" s="1"/>
      <c r="H46" s="1"/>
      <c r="J46" t="s">
        <v>110</v>
      </c>
      <c r="K46" t="s">
        <v>111</v>
      </c>
      <c r="L46" t="s">
        <v>112</v>
      </c>
      <c r="M46" t="s">
        <v>113</v>
      </c>
    </row>
    <row r="47" spans="1:13" ht="18" thickBot="1" x14ac:dyDescent="0.35">
      <c r="A47" s="143" t="s">
        <v>15</v>
      </c>
      <c r="B47" s="134"/>
      <c r="C47" s="134"/>
      <c r="D47" s="205"/>
      <c r="E47" s="206"/>
      <c r="F47" s="134" t="s">
        <v>70</v>
      </c>
      <c r="G47" s="206" t="s">
        <v>16</v>
      </c>
      <c r="H47" s="207" t="s">
        <v>92</v>
      </c>
      <c r="J47" s="167" t="s">
        <v>102</v>
      </c>
      <c r="K47" s="172">
        <v>20000</v>
      </c>
      <c r="L47" s="93">
        <v>1</v>
      </c>
      <c r="M47" s="169">
        <f t="shared" ref="M47:M54" si="2">K47*L47</f>
        <v>20000</v>
      </c>
    </row>
    <row r="48" spans="1:13" ht="17.25" x14ac:dyDescent="0.3">
      <c r="A48" s="14"/>
      <c r="B48" s="14"/>
      <c r="C48" s="14"/>
      <c r="D48" s="14"/>
      <c r="E48" s="164"/>
      <c r="F48" s="164"/>
      <c r="G48" s="137"/>
      <c r="H48" s="164"/>
      <c r="J48" s="126" t="s">
        <v>103</v>
      </c>
      <c r="K48" s="173">
        <v>3000</v>
      </c>
      <c r="L48">
        <v>4</v>
      </c>
      <c r="M48" s="170">
        <f t="shared" si="2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6" t="s">
        <v>104</v>
      </c>
      <c r="K49" s="173">
        <v>5000</v>
      </c>
      <c r="L49">
        <v>2</v>
      </c>
      <c r="M49" s="170">
        <f t="shared" si="2"/>
        <v>10000</v>
      </c>
    </row>
    <row r="50" spans="1:13" ht="17.25" x14ac:dyDescent="0.3">
      <c r="A50" s="1"/>
      <c r="B50" s="61"/>
      <c r="F50" s="60"/>
      <c r="G50" s="3"/>
      <c r="H50" s="60"/>
      <c r="J50" s="126" t="s">
        <v>105</v>
      </c>
      <c r="K50" s="173">
        <v>8000</v>
      </c>
      <c r="L50">
        <v>1</v>
      </c>
      <c r="M50" s="170">
        <f t="shared" si="2"/>
        <v>8000</v>
      </c>
    </row>
    <row r="51" spans="1:13" ht="17.25" x14ac:dyDescent="0.3">
      <c r="A51" s="1"/>
      <c r="J51" s="126" t="s">
        <v>109</v>
      </c>
      <c r="K51" s="173">
        <v>5000</v>
      </c>
      <c r="L51">
        <v>1</v>
      </c>
      <c r="M51" s="170">
        <f t="shared" si="2"/>
        <v>5000</v>
      </c>
    </row>
    <row r="52" spans="1:13" ht="18" thickBot="1" x14ac:dyDescent="0.35">
      <c r="A52" s="1"/>
      <c r="B52" s="1"/>
      <c r="C52" s="1"/>
      <c r="D52" s="1" t="s">
        <v>175</v>
      </c>
      <c r="E52" s="60"/>
      <c r="F52" s="60"/>
      <c r="G52" s="3"/>
      <c r="H52" s="60"/>
      <c r="J52" s="126" t="s">
        <v>106</v>
      </c>
      <c r="K52" s="173">
        <v>2000</v>
      </c>
      <c r="L52">
        <v>1</v>
      </c>
      <c r="M52" s="170">
        <f t="shared" si="2"/>
        <v>2000</v>
      </c>
    </row>
    <row r="53" spans="1:13" ht="18" thickBot="1" x14ac:dyDescent="0.35">
      <c r="A53" s="1"/>
      <c r="B53" s="1"/>
      <c r="C53" s="1"/>
      <c r="D53" s="1"/>
      <c r="E53" s="129"/>
      <c r="F53" s="62" t="s">
        <v>3</v>
      </c>
      <c r="G53" s="63">
        <f>SUM(G48:G51)</f>
        <v>0</v>
      </c>
      <c r="H53" s="98">
        <f>SUM(H48:H52)</f>
        <v>880000</v>
      </c>
      <c r="J53" s="126" t="s">
        <v>107</v>
      </c>
      <c r="K53" s="173">
        <v>7000</v>
      </c>
      <c r="L53">
        <v>1</v>
      </c>
      <c r="M53" s="170">
        <f t="shared" si="2"/>
        <v>7000</v>
      </c>
    </row>
    <row r="54" spans="1:13" ht="15.75" thickBot="1" x14ac:dyDescent="0.3">
      <c r="J54" s="126" t="s">
        <v>108</v>
      </c>
      <c r="K54" s="173">
        <v>15000</v>
      </c>
      <c r="L54">
        <v>1</v>
      </c>
      <c r="M54" s="170">
        <f t="shared" si="2"/>
        <v>15000</v>
      </c>
    </row>
    <row r="55" spans="1:13" ht="19.5" thickBot="1" x14ac:dyDescent="0.35">
      <c r="A55" s="228" t="s">
        <v>37</v>
      </c>
      <c r="B55" s="214"/>
      <c r="C55" s="214"/>
      <c r="D55" s="214"/>
      <c r="E55" s="314">
        <f>H53</f>
        <v>880000</v>
      </c>
      <c r="F55" s="315"/>
      <c r="G55" s="315"/>
      <c r="H55" s="316"/>
      <c r="I55" s="1"/>
      <c r="J55" s="168"/>
      <c r="K55" s="127"/>
      <c r="L55" s="127"/>
      <c r="M55" s="171">
        <f>SUM(M47:M54)</f>
        <v>79000</v>
      </c>
    </row>
    <row r="56" spans="1:13" ht="18.75" x14ac:dyDescent="0.3">
      <c r="A56" s="216" t="s">
        <v>89</v>
      </c>
      <c r="B56" s="215"/>
      <c r="C56" s="215"/>
      <c r="D56" s="215"/>
      <c r="E56" s="317" t="s">
        <v>163</v>
      </c>
      <c r="F56" s="317"/>
      <c r="G56" s="317"/>
      <c r="H56" s="317"/>
    </row>
    <row r="57" spans="1:13" ht="15.75" thickBot="1" x14ac:dyDescent="0.3"/>
    <row r="58" spans="1:13" ht="20.25" thickBot="1" x14ac:dyDescent="0.3">
      <c r="A58" s="227" t="s">
        <v>46</v>
      </c>
      <c r="B58" s="59"/>
      <c r="C58" s="59"/>
      <c r="D58" s="59"/>
      <c r="E58" s="59"/>
      <c r="F58" s="59"/>
      <c r="G58" s="59"/>
      <c r="H58" s="142"/>
    </row>
    <row r="60" spans="1:13" ht="17.25" x14ac:dyDescent="0.25">
      <c r="A60" s="139" t="s">
        <v>23</v>
      </c>
      <c r="B60" s="140"/>
      <c r="C60" s="140"/>
      <c r="D60" s="141"/>
      <c r="E60" s="230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131870.39000000001</v>
      </c>
      <c r="F60" s="144"/>
      <c r="G60" s="144"/>
      <c r="H60" s="145"/>
    </row>
    <row r="61" spans="1:13" ht="17.25" x14ac:dyDescent="0.25">
      <c r="A61" s="149" t="s">
        <v>51</v>
      </c>
      <c r="B61" s="61"/>
      <c r="C61" s="61"/>
      <c r="D61" s="150"/>
      <c r="E61" s="231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30842.865900000001</v>
      </c>
      <c r="F61" s="79"/>
      <c r="G61" s="79"/>
      <c r="H61" s="154"/>
    </row>
    <row r="62" spans="1:13" ht="17.25" x14ac:dyDescent="0.25">
      <c r="A62" s="149"/>
      <c r="B62" s="61"/>
      <c r="C62" s="61"/>
      <c r="D62" s="150"/>
      <c r="E62" s="231">
        <f>E60+E61</f>
        <v>162713.25590000002</v>
      </c>
      <c r="F62" s="79"/>
      <c r="G62" s="79"/>
      <c r="H62" s="154"/>
    </row>
    <row r="63" spans="1:13" ht="17.25" x14ac:dyDescent="0.25">
      <c r="A63" s="149" t="s">
        <v>54</v>
      </c>
      <c r="B63" s="61"/>
      <c r="C63" s="61"/>
      <c r="D63" s="150"/>
      <c r="E63" s="232">
        <v>0</v>
      </c>
      <c r="F63" s="4"/>
      <c r="G63" s="4"/>
      <c r="H63" s="157"/>
    </row>
    <row r="64" spans="1:13" ht="18" x14ac:dyDescent="0.25">
      <c r="A64" s="151" t="s">
        <v>56</v>
      </c>
      <c r="B64" s="152"/>
      <c r="C64" s="152"/>
      <c r="D64" s="153"/>
      <c r="E64" s="233">
        <f>E62+E63</f>
        <v>162713.25590000002</v>
      </c>
      <c r="F64" s="155"/>
      <c r="G64" s="155"/>
      <c r="H64" s="156"/>
    </row>
    <row r="65" spans="1:11" ht="15.75" thickBot="1" x14ac:dyDescent="0.3"/>
    <row r="66" spans="1:11" ht="19.5" thickBot="1" x14ac:dyDescent="0.35">
      <c r="A66" s="229" t="s">
        <v>38</v>
      </c>
      <c r="B66" s="158"/>
      <c r="C66" s="158"/>
      <c r="D66" s="159"/>
      <c r="E66" s="117" t="s">
        <v>39</v>
      </c>
      <c r="F66" s="117" t="s">
        <v>128</v>
      </c>
      <c r="G66" s="136" t="s">
        <v>68</v>
      </c>
      <c r="H66" s="117" t="s">
        <v>127</v>
      </c>
    </row>
    <row r="67" spans="1:11" ht="17.25" x14ac:dyDescent="0.3">
      <c r="A67" s="84" t="s">
        <v>168</v>
      </c>
      <c r="B67" s="137" t="s">
        <v>172</v>
      </c>
      <c r="C67" s="137"/>
      <c r="D67" s="137"/>
      <c r="E67" s="114">
        <v>0.02</v>
      </c>
      <c r="F67" s="83">
        <f>$E$64*E67</f>
        <v>3254.2651180000003</v>
      </c>
      <c r="G67" s="114">
        <v>0.3</v>
      </c>
      <c r="H67" s="115">
        <f>IF(G67=0,F67,F67-(F67*G67))</f>
        <v>2277.9855826000003</v>
      </c>
    </row>
    <row r="68" spans="1:11" ht="17.25" x14ac:dyDescent="0.3">
      <c r="A68" s="88" t="s">
        <v>167</v>
      </c>
      <c r="B68" s="3" t="s">
        <v>170</v>
      </c>
      <c r="C68" s="3"/>
      <c r="D68" s="3"/>
      <c r="E68" s="257">
        <v>0.15</v>
      </c>
      <c r="F68" s="5">
        <f t="shared" ref="F68:F73" si="3">$E$64*E68</f>
        <v>24406.988385000001</v>
      </c>
      <c r="G68" s="257">
        <v>0.3</v>
      </c>
      <c r="H68" s="87">
        <f t="shared" ref="H68:H73" si="4">IF(G68=0,F68,F68-(F68*G68))</f>
        <v>17084.891869499999</v>
      </c>
    </row>
    <row r="69" spans="1:11" ht="17.25" x14ac:dyDescent="0.3">
      <c r="A69" s="88" t="s">
        <v>166</v>
      </c>
      <c r="B69" s="3" t="s">
        <v>169</v>
      </c>
      <c r="C69" s="3"/>
      <c r="D69" s="3"/>
      <c r="E69" s="257">
        <v>0.2</v>
      </c>
      <c r="F69" s="5">
        <f t="shared" si="3"/>
        <v>32542.651180000004</v>
      </c>
      <c r="G69" s="257">
        <v>0.3</v>
      </c>
      <c r="H69" s="87">
        <f t="shared" si="4"/>
        <v>22779.855826000003</v>
      </c>
      <c r="J69" s="267"/>
    </row>
    <row r="70" spans="1:11" ht="17.25" x14ac:dyDescent="0.3">
      <c r="A70" s="88" t="s">
        <v>47</v>
      </c>
      <c r="B70" s="3" t="s">
        <v>48</v>
      </c>
      <c r="C70" s="3"/>
      <c r="D70" s="3"/>
      <c r="E70" s="257">
        <v>0.1</v>
      </c>
      <c r="F70" s="5">
        <f t="shared" si="3"/>
        <v>16271.325590000002</v>
      </c>
      <c r="G70" s="257">
        <v>0.2</v>
      </c>
      <c r="H70" s="87">
        <f t="shared" si="4"/>
        <v>13017.060472000001</v>
      </c>
      <c r="J70" s="267"/>
    </row>
    <row r="71" spans="1:11" ht="17.25" x14ac:dyDescent="0.3">
      <c r="A71" s="88" t="s">
        <v>59</v>
      </c>
      <c r="B71" s="3" t="s">
        <v>49</v>
      </c>
      <c r="C71" s="3"/>
      <c r="D71" s="3"/>
      <c r="E71" s="257">
        <v>0.2</v>
      </c>
      <c r="F71" s="5">
        <f t="shared" si="3"/>
        <v>32542.651180000004</v>
      </c>
      <c r="G71" s="257">
        <v>0.2</v>
      </c>
      <c r="H71" s="87">
        <f>IF(G71=0,F71,F71-(F71*G71))</f>
        <v>26034.120944000002</v>
      </c>
      <c r="J71" s="267"/>
    </row>
    <row r="72" spans="1:11" ht="17.25" x14ac:dyDescent="0.3">
      <c r="A72" s="88" t="s">
        <v>52</v>
      </c>
      <c r="B72" s="3" t="s">
        <v>171</v>
      </c>
      <c r="C72" s="3"/>
      <c r="D72" s="3"/>
      <c r="E72" s="257">
        <v>0.3</v>
      </c>
      <c r="F72" s="5">
        <f t="shared" si="3"/>
        <v>48813.976770000001</v>
      </c>
      <c r="G72" s="257">
        <v>0</v>
      </c>
      <c r="H72" s="87">
        <f>IF(G72=0,F72,F72-(F72*G72))</f>
        <v>48813.976770000001</v>
      </c>
      <c r="J72" s="267"/>
    </row>
    <row r="73" spans="1:11" ht="18" thickBot="1" x14ac:dyDescent="0.35">
      <c r="A73" s="89" t="s">
        <v>165</v>
      </c>
      <c r="B73" s="138" t="s">
        <v>164</v>
      </c>
      <c r="C73" s="138"/>
      <c r="D73" s="138"/>
      <c r="E73" s="116">
        <v>0.03</v>
      </c>
      <c r="F73" s="85">
        <f t="shared" si="3"/>
        <v>4881.3976769999999</v>
      </c>
      <c r="G73" s="116">
        <v>0</v>
      </c>
      <c r="H73" s="86">
        <f t="shared" si="4"/>
        <v>4881.3976769999999</v>
      </c>
      <c r="J73" s="268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04" t="s">
        <v>96</v>
      </c>
      <c r="F75" s="305"/>
      <c r="G75" s="306"/>
      <c r="H75" s="122">
        <f>H76*(1-(SUM(H67:H73)/H76))</f>
        <v>27823.966758900009</v>
      </c>
    </row>
    <row r="76" spans="1:11" ht="19.5" thickBot="1" x14ac:dyDescent="0.35">
      <c r="B76" s="118"/>
      <c r="C76" s="118"/>
      <c r="E76" s="304" t="s">
        <v>55</v>
      </c>
      <c r="F76" s="305"/>
      <c r="G76" s="306"/>
      <c r="H76" s="122">
        <f>SUM(F67:F73)</f>
        <v>162713.25590000002</v>
      </c>
    </row>
    <row r="77" spans="1:11" ht="15.75" thickBot="1" x14ac:dyDescent="0.3"/>
    <row r="78" spans="1:11" ht="18.75" thickBot="1" x14ac:dyDescent="0.3">
      <c r="E78" s="307" t="s">
        <v>124</v>
      </c>
      <c r="F78" s="308"/>
      <c r="G78" s="309"/>
      <c r="H78" s="119">
        <f>H76-H75</f>
        <v>134889.28914110002</v>
      </c>
      <c r="J78">
        <v>297</v>
      </c>
      <c r="K78">
        <f>J78*30</f>
        <v>8910</v>
      </c>
    </row>
    <row r="79" spans="1:11" ht="17.25" x14ac:dyDescent="0.3">
      <c r="A79" s="1"/>
      <c r="B79" s="256"/>
      <c r="C79" s="202"/>
      <c r="D79" s="202"/>
      <c r="E79" s="60"/>
      <c r="F79" s="184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319" t="s">
        <v>173</v>
      </c>
      <c r="E81" s="320"/>
      <c r="F81" s="269">
        <f>COUNT(D86:E91)</f>
        <v>4</v>
      </c>
      <c r="G81" s="259"/>
      <c r="H81" s="260">
        <f>SUM(H72:H73)/F81</f>
        <v>13423.84361175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319" t="s">
        <v>176</v>
      </c>
      <c r="E83" s="320"/>
      <c r="F83" s="266">
        <f>H83/850</f>
        <v>0.78963785951470589</v>
      </c>
      <c r="G83" s="261"/>
      <c r="H83" s="260">
        <f>H81/20</f>
        <v>671.19218058750005</v>
      </c>
      <c r="M83" s="173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318" t="s">
        <v>159</v>
      </c>
      <c r="E85" s="313"/>
      <c r="F85" s="313" t="s">
        <v>160</v>
      </c>
      <c r="G85" s="313"/>
      <c r="H85" s="262" t="s">
        <v>161</v>
      </c>
    </row>
    <row r="86" spans="4:13" ht="17.25" x14ac:dyDescent="0.3">
      <c r="D86" s="311">
        <v>1</v>
      </c>
      <c r="E86" s="311"/>
      <c r="F86" s="312">
        <v>2</v>
      </c>
      <c r="G86" s="312"/>
      <c r="H86" s="263">
        <f>$H$81</f>
        <v>13423.84361175</v>
      </c>
    </row>
    <row r="87" spans="4:13" ht="17.25" x14ac:dyDescent="0.3">
      <c r="D87" s="312">
        <v>2</v>
      </c>
      <c r="E87" s="312"/>
      <c r="F87" s="312">
        <v>2</v>
      </c>
      <c r="G87" s="312"/>
      <c r="H87" s="263">
        <f t="shared" ref="H87:H89" si="5">$H$81</f>
        <v>13423.84361175</v>
      </c>
    </row>
    <row r="88" spans="4:13" ht="17.25" x14ac:dyDescent="0.3">
      <c r="D88" s="312">
        <v>3</v>
      </c>
      <c r="E88" s="312"/>
      <c r="F88" s="312">
        <v>4</v>
      </c>
      <c r="G88" s="312"/>
      <c r="H88" s="263">
        <f t="shared" si="5"/>
        <v>13423.84361175</v>
      </c>
    </row>
    <row r="89" spans="4:13" ht="17.25" x14ac:dyDescent="0.3">
      <c r="D89" s="312">
        <v>4</v>
      </c>
      <c r="E89" s="312"/>
      <c r="F89" s="312">
        <v>4</v>
      </c>
      <c r="G89" s="312"/>
      <c r="H89" s="263">
        <f t="shared" si="5"/>
        <v>13423.84361175</v>
      </c>
    </row>
    <row r="90" spans="4:13" ht="17.25" x14ac:dyDescent="0.3">
      <c r="D90" s="312"/>
      <c r="E90" s="312"/>
      <c r="F90" s="312"/>
      <c r="G90" s="312"/>
      <c r="H90" s="263"/>
    </row>
    <row r="91" spans="4:13" ht="17.25" x14ac:dyDescent="0.3">
      <c r="D91" s="312"/>
      <c r="E91" s="312"/>
      <c r="F91" s="312"/>
      <c r="G91" s="312"/>
      <c r="H91" s="263"/>
    </row>
    <row r="92" spans="4:13" ht="17.25" x14ac:dyDescent="0.3">
      <c r="D92" s="312"/>
      <c r="E92" s="312"/>
      <c r="F92" s="312"/>
      <c r="G92" s="312"/>
      <c r="H92" s="263"/>
    </row>
    <row r="94" spans="4:13" ht="22.5" customHeight="1" x14ac:dyDescent="0.3">
      <c r="D94" s="318" t="s">
        <v>174</v>
      </c>
      <c r="E94" s="313"/>
      <c r="F94" s="313"/>
      <c r="G94" s="313"/>
      <c r="H94" s="260">
        <f>SUM(H86:H91)</f>
        <v>53695.374447000002</v>
      </c>
    </row>
    <row r="95" spans="4:13" ht="17.25" x14ac:dyDescent="0.3">
      <c r="D95" s="3"/>
      <c r="E95" s="1"/>
      <c r="F95" s="1"/>
      <c r="G95" s="3"/>
      <c r="H95" s="263"/>
    </row>
    <row r="96" spans="4:13" ht="17.25" x14ac:dyDescent="0.3">
      <c r="D96" s="264" t="s">
        <v>162</v>
      </c>
      <c r="E96" s="259"/>
      <c r="F96" s="259"/>
      <c r="G96" s="259"/>
      <c r="H96" s="265">
        <f>SUM(F86:F89)</f>
        <v>12</v>
      </c>
      <c r="J96" s="258"/>
      <c r="L96" s="173"/>
    </row>
    <row r="97" spans="4:14" x14ac:dyDescent="0.25">
      <c r="L97" s="258"/>
      <c r="M97" s="173"/>
    </row>
    <row r="99" spans="4:14" x14ac:dyDescent="0.25">
      <c r="M99" s="94"/>
    </row>
    <row r="102" spans="4:14" x14ac:dyDescent="0.25">
      <c r="N102" s="173"/>
    </row>
    <row r="105" spans="4:14" x14ac:dyDescent="0.25">
      <c r="K105" s="121"/>
    </row>
    <row r="106" spans="4:14" x14ac:dyDescent="0.25">
      <c r="K106" s="120"/>
    </row>
    <row r="107" spans="4:14" x14ac:dyDescent="0.25">
      <c r="D107" s="310"/>
      <c r="E107" s="310"/>
    </row>
    <row r="108" spans="4:14" x14ac:dyDescent="0.25">
      <c r="D108" s="310"/>
      <c r="E108" s="310"/>
    </row>
    <row r="109" spans="4:14" x14ac:dyDescent="0.25">
      <c r="D109" s="310"/>
      <c r="E109" s="310"/>
    </row>
  </sheetData>
  <mergeCells count="39"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abSelected="1" topLeftCell="A10" zoomScaleNormal="100" workbookViewId="0">
      <selection activeCell="D21" sqref="D21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K1" s="1"/>
    </row>
    <row r="2" spans="1:11" ht="17.25" x14ac:dyDescent="0.3">
      <c r="A2" s="221"/>
      <c r="B2" s="221"/>
      <c r="C2" s="221"/>
      <c r="D2" s="221"/>
      <c r="E2" s="221"/>
      <c r="F2" s="221"/>
      <c r="G2" s="221"/>
      <c r="H2" s="221"/>
      <c r="I2" s="2"/>
    </row>
    <row r="3" spans="1:11" ht="17.25" x14ac:dyDescent="0.3">
      <c r="A3" s="221"/>
      <c r="B3" s="221"/>
      <c r="C3" s="221"/>
      <c r="D3" s="221"/>
      <c r="E3" s="221"/>
      <c r="F3" s="221"/>
      <c r="G3" s="221"/>
      <c r="H3" s="221"/>
      <c r="I3" s="2"/>
    </row>
    <row r="4" spans="1:11" ht="17.25" x14ac:dyDescent="0.3">
      <c r="A4" s="221"/>
      <c r="B4" s="221"/>
      <c r="C4" s="221"/>
      <c r="D4" s="221"/>
      <c r="E4" s="221"/>
      <c r="F4" s="221"/>
      <c r="G4" s="221"/>
      <c r="H4" s="221"/>
      <c r="I4" s="2"/>
    </row>
    <row r="5" spans="1:11" ht="17.25" x14ac:dyDescent="0.3">
      <c r="A5" s="221"/>
      <c r="B5" s="221"/>
      <c r="C5" s="221"/>
      <c r="D5" s="221"/>
      <c r="E5" s="221"/>
      <c r="F5" s="221"/>
      <c r="G5" s="221"/>
      <c r="H5" s="221"/>
      <c r="I5" s="2"/>
    </row>
    <row r="6" spans="1:11" ht="17.25" x14ac:dyDescent="0.3">
      <c r="A6" s="221"/>
      <c r="B6" s="221"/>
      <c r="C6" s="221"/>
      <c r="D6" s="221"/>
      <c r="E6" s="221"/>
      <c r="F6" s="221"/>
      <c r="G6" s="221"/>
      <c r="H6" s="221"/>
      <c r="I6" s="1"/>
    </row>
    <row r="7" spans="1:11" ht="17.25" x14ac:dyDescent="0.3">
      <c r="A7" s="221"/>
      <c r="B7" s="221"/>
      <c r="C7" s="221"/>
      <c r="D7" s="221"/>
      <c r="E7" s="221"/>
      <c r="F7" s="221"/>
      <c r="G7" s="221"/>
      <c r="H7" s="221"/>
      <c r="I7" s="2"/>
    </row>
    <row r="8" spans="1:11" ht="17.25" x14ac:dyDescent="0.3">
      <c r="A8" s="221"/>
      <c r="B8" s="221"/>
      <c r="C8" s="221"/>
      <c r="D8" s="221"/>
      <c r="E8" s="221"/>
      <c r="F8" s="221"/>
      <c r="G8" s="221"/>
      <c r="H8" s="221"/>
      <c r="I8" s="2"/>
    </row>
    <row r="9" spans="1:11" ht="17.25" x14ac:dyDescent="0.3">
      <c r="A9" s="221"/>
      <c r="B9" s="221"/>
      <c r="C9" s="221"/>
      <c r="D9" s="221"/>
      <c r="E9" s="221"/>
      <c r="F9" s="221"/>
      <c r="G9" s="221"/>
      <c r="H9" s="221"/>
      <c r="I9" s="1"/>
    </row>
    <row r="10" spans="1:11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</row>
    <row r="11" spans="1:11" ht="21" thickBot="1" x14ac:dyDescent="0.35">
      <c r="A11" s="328" t="s">
        <v>14</v>
      </c>
      <c r="B11" s="329"/>
      <c r="C11" s="329"/>
      <c r="D11" s="329"/>
      <c r="E11" s="329"/>
      <c r="F11" s="329"/>
      <c r="G11" s="329"/>
      <c r="H11" s="330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31" t="s">
        <v>65</v>
      </c>
      <c r="B13" s="332"/>
      <c r="C13" s="333"/>
      <c r="D13" s="1"/>
      <c r="E13" s="4" t="s">
        <v>66</v>
      </c>
      <c r="F13" s="1"/>
      <c r="G13" s="1"/>
      <c r="H13" s="1"/>
      <c r="J13" s="339" t="s">
        <v>192</v>
      </c>
      <c r="K13" s="340"/>
    </row>
    <row r="14" spans="1:11" ht="18" thickBot="1" x14ac:dyDescent="0.35">
      <c r="A14" s="334" t="s">
        <v>61</v>
      </c>
      <c r="B14" s="311"/>
      <c r="C14" s="311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77" t="s">
        <v>95</v>
      </c>
      <c r="K14" s="278">
        <f>H27</f>
        <v>15475</v>
      </c>
    </row>
    <row r="15" spans="1:11" ht="18" thickBot="1" x14ac:dyDescent="0.35">
      <c r="A15" s="335" t="s">
        <v>81</v>
      </c>
      <c r="B15" s="336"/>
      <c r="C15" s="71"/>
      <c r="D15" s="71"/>
      <c r="E15" s="71"/>
      <c r="F15" s="76">
        <f>SUM(F16:F30)</f>
        <v>27</v>
      </c>
      <c r="G15" s="270">
        <f>SUM(G16:G22)</f>
        <v>2</v>
      </c>
      <c r="H15" s="201">
        <f>SUM(H16:H22)</f>
        <v>15475</v>
      </c>
      <c r="I15" s="1"/>
      <c r="J15" s="283" t="s">
        <v>184</v>
      </c>
      <c r="K15" s="279">
        <f>SUM(H22:H22)</f>
        <v>0</v>
      </c>
    </row>
    <row r="16" spans="1:11" ht="17.25" x14ac:dyDescent="0.3">
      <c r="A16" s="196"/>
      <c r="B16" s="271"/>
      <c r="C16" s="271"/>
      <c r="D16" s="60"/>
      <c r="E16" s="60"/>
      <c r="F16" s="3">
        <v>0</v>
      </c>
      <c r="G16" s="197">
        <f>F16/8</f>
        <v>0</v>
      </c>
      <c r="H16" s="199">
        <f>F16*E16</f>
        <v>0</v>
      </c>
      <c r="I16" s="1"/>
      <c r="J16" s="285" t="s">
        <v>186</v>
      </c>
      <c r="K16" s="260">
        <f>K14-K15</f>
        <v>15475</v>
      </c>
    </row>
    <row r="17" spans="1:11" ht="17.25" x14ac:dyDescent="0.3">
      <c r="A17" s="1" t="s">
        <v>202</v>
      </c>
      <c r="D17" s="60" t="s">
        <v>2</v>
      </c>
      <c r="E17" s="60">
        <v>625</v>
      </c>
      <c r="F17" s="3">
        <v>16</v>
      </c>
      <c r="G17" s="197">
        <f>F17/8</f>
        <v>2</v>
      </c>
      <c r="H17" s="199">
        <f>F17*E17</f>
        <v>10000</v>
      </c>
      <c r="I17" s="1"/>
    </row>
    <row r="18" spans="1:11" ht="17.25" x14ac:dyDescent="0.3">
      <c r="A18" s="1" t="s">
        <v>203</v>
      </c>
      <c r="D18" s="60" t="s">
        <v>205</v>
      </c>
      <c r="E18" s="60">
        <v>450</v>
      </c>
      <c r="F18" s="3">
        <v>8</v>
      </c>
      <c r="G18" s="197"/>
      <c r="H18" s="199">
        <f>F18*E18</f>
        <v>3600</v>
      </c>
      <c r="I18" s="1"/>
      <c r="J18" s="337" t="s">
        <v>189</v>
      </c>
      <c r="K18" s="338"/>
    </row>
    <row r="19" spans="1:11" ht="17.25" x14ac:dyDescent="0.3">
      <c r="A19" s="1" t="s">
        <v>204</v>
      </c>
      <c r="B19" s="1"/>
      <c r="C19" s="1"/>
      <c r="D19" s="60" t="s">
        <v>2</v>
      </c>
      <c r="E19" s="60">
        <v>625</v>
      </c>
      <c r="F19" s="3">
        <v>3</v>
      </c>
      <c r="G19" s="197"/>
      <c r="H19" s="199">
        <f>F19*E19</f>
        <v>1875</v>
      </c>
      <c r="I19" s="1"/>
      <c r="J19" s="283" t="s">
        <v>187</v>
      </c>
      <c r="K19" s="284">
        <f>K16*0.7</f>
        <v>10832.5</v>
      </c>
    </row>
    <row r="20" spans="1:11" ht="17.25" x14ac:dyDescent="0.3">
      <c r="I20" s="1"/>
    </row>
    <row r="21" spans="1:11" ht="17.25" x14ac:dyDescent="0.3">
      <c r="A21" s="196"/>
      <c r="D21" s="60"/>
      <c r="E21" s="60"/>
      <c r="F21" s="3"/>
      <c r="G21" s="197"/>
      <c r="H21" s="199"/>
      <c r="I21" s="1"/>
      <c r="J21" s="337" t="s">
        <v>190</v>
      </c>
      <c r="K21" s="338"/>
    </row>
    <row r="22" spans="1:11" ht="17.25" x14ac:dyDescent="0.3">
      <c r="A22" s="303"/>
      <c r="B22" s="303"/>
      <c r="D22" s="276"/>
      <c r="E22" s="60"/>
      <c r="F22" s="3"/>
      <c r="G22" s="197"/>
      <c r="H22" s="199"/>
      <c r="I22" s="1"/>
      <c r="J22" s="277" t="s">
        <v>188</v>
      </c>
      <c r="K22" s="278">
        <f>K16-K19</f>
        <v>4642.5</v>
      </c>
    </row>
    <row r="23" spans="1:11" ht="17.25" x14ac:dyDescent="0.3">
      <c r="I23" s="1"/>
      <c r="J23" s="281" t="s">
        <v>185</v>
      </c>
      <c r="K23" s="282">
        <f>K15*0.5</f>
        <v>0</v>
      </c>
    </row>
    <row r="24" spans="1:11" ht="17.25" x14ac:dyDescent="0.3">
      <c r="I24" s="1"/>
      <c r="J24" s="238"/>
      <c r="K24" s="280">
        <f>K22+K23</f>
        <v>4642.5</v>
      </c>
    </row>
    <row r="25" spans="1:11" ht="18" x14ac:dyDescent="0.3">
      <c r="A25" s="73"/>
      <c r="B25" s="73"/>
      <c r="D25" s="92"/>
      <c r="F25" s="92" t="s">
        <v>80</v>
      </c>
      <c r="G25" s="73"/>
      <c r="H25" s="198">
        <f>H15</f>
        <v>15475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98">
        <f>H25*G26</f>
        <v>0</v>
      </c>
      <c r="I26" s="1"/>
      <c r="J26" s="337" t="s">
        <v>191</v>
      </c>
      <c r="K26" s="338"/>
    </row>
    <row r="27" spans="1:11" ht="19.5" thickBot="1" x14ac:dyDescent="0.35">
      <c r="A27" s="1"/>
      <c r="B27" s="1"/>
      <c r="C27" s="1"/>
      <c r="D27" s="1"/>
      <c r="F27" s="147" t="s">
        <v>69</v>
      </c>
      <c r="G27" s="148"/>
      <c r="H27" s="200">
        <f>(H25-H26)</f>
        <v>15475</v>
      </c>
      <c r="I27" s="1"/>
      <c r="J27" s="277" t="s">
        <v>95</v>
      </c>
      <c r="K27" s="278">
        <f>K14</f>
        <v>15475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93" t="s">
        <v>194</v>
      </c>
      <c r="K28" s="279">
        <f>K19+K24</f>
        <v>15475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64" t="s">
        <v>193</v>
      </c>
      <c r="K29" s="280">
        <f>K27-K28</f>
        <v>0</v>
      </c>
    </row>
    <row r="30" spans="1:11" ht="18" thickBot="1" x14ac:dyDescent="0.35">
      <c r="H30" s="173"/>
      <c r="I30" s="1"/>
    </row>
    <row r="31" spans="1:11" ht="19.5" thickBot="1" x14ac:dyDescent="0.35">
      <c r="A31" s="208" t="s">
        <v>71</v>
      </c>
      <c r="B31" s="160"/>
      <c r="C31" s="161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43" t="s">
        <v>61</v>
      </c>
      <c r="B32" s="134"/>
      <c r="C32" s="134"/>
      <c r="D32" s="134"/>
      <c r="E32" s="134"/>
      <c r="F32" s="134"/>
      <c r="G32" s="213"/>
      <c r="H32" s="135"/>
      <c r="J32" s="321" t="s">
        <v>75</v>
      </c>
      <c r="K32" s="322"/>
    </row>
    <row r="33" spans="1:11" ht="18" thickBot="1" x14ac:dyDescent="0.35">
      <c r="I33" s="1"/>
    </row>
    <row r="34" spans="1:11" ht="18" thickBot="1" x14ac:dyDescent="0.35">
      <c r="A34" s="162" t="s">
        <v>81</v>
      </c>
      <c r="B34" s="163"/>
      <c r="C34" s="71"/>
      <c r="D34" s="134" t="s">
        <v>63</v>
      </c>
      <c r="E34" s="134" t="s">
        <v>70</v>
      </c>
      <c r="F34" s="134" t="s">
        <v>72</v>
      </c>
      <c r="G34" s="212"/>
      <c r="H34" s="201">
        <f>SUM(H36:H43)</f>
        <v>42075</v>
      </c>
      <c r="I34" s="1"/>
      <c r="J34" s="272" t="s">
        <v>78</v>
      </c>
      <c r="K34" s="273"/>
    </row>
    <row r="35" spans="1:11" ht="17.25" x14ac:dyDescent="0.3">
      <c r="A35" s="291"/>
      <c r="B35" s="291"/>
      <c r="C35" s="292"/>
      <c r="D35" s="293"/>
      <c r="E35" s="293"/>
      <c r="F35" s="293"/>
      <c r="G35" s="294"/>
      <c r="H35" s="295"/>
      <c r="I35" s="1"/>
      <c r="J35" s="296"/>
      <c r="K35" s="296"/>
    </row>
    <row r="36" spans="1:11" ht="18" thickBot="1" x14ac:dyDescent="0.35">
      <c r="A36" s="1" t="s">
        <v>206</v>
      </c>
      <c r="E36" s="129">
        <v>50</v>
      </c>
      <c r="F36" s="1">
        <v>63</v>
      </c>
      <c r="H36" s="199">
        <f t="shared" ref="H36:H38" si="0">F36*E36</f>
        <v>3150</v>
      </c>
      <c r="I36" s="1"/>
    </row>
    <row r="37" spans="1:11" ht="18" thickBot="1" x14ac:dyDescent="0.35">
      <c r="A37" s="1" t="s">
        <v>207</v>
      </c>
      <c r="D37" s="60"/>
      <c r="E37" s="129">
        <v>25</v>
      </c>
      <c r="F37" s="1">
        <v>745</v>
      </c>
      <c r="H37" s="199">
        <f t="shared" si="0"/>
        <v>18625</v>
      </c>
      <c r="J37" s="105" t="s">
        <v>95</v>
      </c>
      <c r="K37" s="107" t="s">
        <v>88</v>
      </c>
    </row>
    <row r="38" spans="1:11" ht="17.25" x14ac:dyDescent="0.3">
      <c r="A38" s="1" t="s">
        <v>208</v>
      </c>
      <c r="D38" s="60"/>
      <c r="E38" s="129">
        <v>100</v>
      </c>
      <c r="F38" s="1">
        <v>203</v>
      </c>
      <c r="H38" s="199">
        <f t="shared" si="0"/>
        <v>20300</v>
      </c>
      <c r="J38" s="111">
        <f>H27</f>
        <v>15475</v>
      </c>
      <c r="K38" s="60">
        <f>J38*0.05</f>
        <v>773.75</v>
      </c>
    </row>
    <row r="39" spans="1:11" ht="18" thickBot="1" x14ac:dyDescent="0.35">
      <c r="A39" s="196" t="s">
        <v>209</v>
      </c>
      <c r="D39" s="60"/>
      <c r="E39" s="129"/>
      <c r="F39" s="1"/>
      <c r="H39" s="199"/>
    </row>
    <row r="40" spans="1:11" ht="18" thickBot="1" x14ac:dyDescent="0.35">
      <c r="A40" s="196"/>
      <c r="D40" s="60"/>
      <c r="E40" s="129"/>
      <c r="F40" s="1"/>
      <c r="H40" s="199"/>
      <c r="J40" s="104" t="s">
        <v>85</v>
      </c>
      <c r="K40" s="95"/>
    </row>
    <row r="41" spans="1:11" ht="15.75" thickBot="1" x14ac:dyDescent="0.3"/>
    <row r="42" spans="1:11" ht="18" thickBot="1" x14ac:dyDescent="0.35">
      <c r="A42" s="303"/>
      <c r="B42" s="303"/>
      <c r="H42" s="199"/>
      <c r="J42" s="103" t="s">
        <v>87</v>
      </c>
      <c r="K42" s="95"/>
    </row>
    <row r="44" spans="1:11" ht="18" x14ac:dyDescent="0.25">
      <c r="A44" s="73"/>
      <c r="C44" s="73"/>
      <c r="D44" s="73"/>
      <c r="F44" s="92" t="s">
        <v>123</v>
      </c>
      <c r="G44" s="73"/>
      <c r="H44" s="198">
        <f>H34</f>
        <v>42075</v>
      </c>
      <c r="J44" s="173"/>
    </row>
    <row r="45" spans="1:11" ht="18.75" thickBot="1" x14ac:dyDescent="0.3">
      <c r="A45" s="73"/>
      <c r="B45" s="73"/>
      <c r="C45" s="73"/>
      <c r="E45" s="146"/>
      <c r="F45" s="92" t="s">
        <v>79</v>
      </c>
      <c r="G45" s="74">
        <v>0</v>
      </c>
      <c r="H45" s="4"/>
      <c r="J45" s="173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200">
        <f>H44</f>
        <v>42075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209" t="s">
        <v>67</v>
      </c>
      <c r="B50" s="210"/>
      <c r="C50" s="211"/>
      <c r="D50" s="1"/>
      <c r="E50" s="1"/>
      <c r="F50" s="1"/>
      <c r="G50" s="1"/>
      <c r="H50" s="1"/>
    </row>
    <row r="51" spans="1:12" ht="18" thickBot="1" x14ac:dyDescent="0.35">
      <c r="A51" s="143" t="s">
        <v>15</v>
      </c>
      <c r="B51" s="134"/>
      <c r="C51" s="134"/>
      <c r="D51" s="205"/>
      <c r="E51" s="206"/>
      <c r="F51" s="134" t="s">
        <v>70</v>
      </c>
      <c r="G51" s="206" t="s">
        <v>16</v>
      </c>
      <c r="H51" s="207" t="s">
        <v>92</v>
      </c>
    </row>
    <row r="52" spans="1:12" ht="19.5" thickBot="1" x14ac:dyDescent="0.35">
      <c r="A52" s="14"/>
      <c r="B52" s="14"/>
      <c r="C52" s="14"/>
      <c r="D52" s="14"/>
      <c r="E52" s="164"/>
      <c r="F52" s="164"/>
      <c r="G52" s="137"/>
      <c r="H52" s="164"/>
      <c r="K52" s="289" t="s">
        <v>200</v>
      </c>
      <c r="L52" s="207" t="s">
        <v>92</v>
      </c>
    </row>
    <row r="53" spans="1:12" ht="17.25" x14ac:dyDescent="0.3">
      <c r="A53" s="1"/>
      <c r="B53" s="61"/>
      <c r="C53" s="4"/>
      <c r="D53" s="1"/>
      <c r="E53" s="60"/>
      <c r="F53" s="286"/>
      <c r="G53" s="3"/>
      <c r="H53" s="60">
        <v>695000</v>
      </c>
      <c r="K53" s="77" t="s">
        <v>195</v>
      </c>
      <c r="L53" s="287">
        <v>250000</v>
      </c>
    </row>
    <row r="54" spans="1:12" ht="17.25" x14ac:dyDescent="0.3">
      <c r="A54" s="1"/>
      <c r="B54" s="61"/>
      <c r="F54" s="286"/>
      <c r="G54" s="3"/>
      <c r="H54" s="60"/>
      <c r="K54" s="77" t="s">
        <v>196</v>
      </c>
      <c r="L54" s="287">
        <v>167500</v>
      </c>
    </row>
    <row r="55" spans="1:12" ht="17.25" x14ac:dyDescent="0.3">
      <c r="A55" s="1"/>
      <c r="F55" s="286"/>
      <c r="H55" s="60"/>
      <c r="K55" s="77" t="s">
        <v>197</v>
      </c>
      <c r="L55" s="287">
        <v>250000</v>
      </c>
    </row>
    <row r="56" spans="1:12" ht="17.25" x14ac:dyDescent="0.3">
      <c r="A56" s="1"/>
      <c r="F56" s="286"/>
      <c r="G56" s="3"/>
      <c r="H56" s="60"/>
      <c r="K56" s="77" t="s">
        <v>199</v>
      </c>
      <c r="L56" s="287">
        <v>270000</v>
      </c>
    </row>
    <row r="57" spans="1:12" ht="17.25" x14ac:dyDescent="0.3">
      <c r="A57" s="1"/>
      <c r="F57" s="286"/>
      <c r="H57" s="60"/>
      <c r="K57" s="193" t="s">
        <v>198</v>
      </c>
      <c r="L57" s="288">
        <v>50000</v>
      </c>
    </row>
    <row r="58" spans="1:12" ht="18" thickBot="1" x14ac:dyDescent="0.35">
      <c r="A58" s="1"/>
      <c r="B58" s="1"/>
      <c r="C58" s="1"/>
      <c r="D58" s="1" t="s">
        <v>175</v>
      </c>
      <c r="E58" s="60"/>
      <c r="F58" s="60"/>
      <c r="G58" s="3"/>
      <c r="H58" s="60"/>
      <c r="L58" s="173"/>
    </row>
    <row r="59" spans="1:12" ht="19.5" thickBot="1" x14ac:dyDescent="0.35">
      <c r="A59" s="1"/>
      <c r="B59" s="1"/>
      <c r="C59" s="1"/>
      <c r="D59" s="1"/>
      <c r="E59" s="129"/>
      <c r="F59" s="62" t="s">
        <v>3</v>
      </c>
      <c r="G59" s="63">
        <f>SUM(G52:G55)</f>
        <v>0</v>
      </c>
      <c r="H59" s="98">
        <f>SUM(H52:H58)</f>
        <v>695000</v>
      </c>
      <c r="K59" s="289" t="s">
        <v>201</v>
      </c>
      <c r="L59" s="290">
        <v>987500</v>
      </c>
    </row>
    <row r="60" spans="1:12" ht="15.75" thickBot="1" x14ac:dyDescent="0.3"/>
    <row r="61" spans="1:12" ht="19.5" thickBot="1" x14ac:dyDescent="0.35">
      <c r="A61" s="228" t="s">
        <v>37</v>
      </c>
      <c r="B61" s="214"/>
      <c r="C61" s="214"/>
      <c r="D61" s="214"/>
      <c r="E61" s="314">
        <f>H59</f>
        <v>695000</v>
      </c>
      <c r="F61" s="315"/>
      <c r="G61" s="315"/>
      <c r="H61" s="316"/>
      <c r="I61" s="1"/>
    </row>
    <row r="62" spans="1:12" ht="18.75" x14ac:dyDescent="0.3">
      <c r="A62" s="216" t="s">
        <v>89</v>
      </c>
      <c r="B62" s="215"/>
      <c r="C62" s="215"/>
      <c r="D62" s="215"/>
      <c r="E62" s="317" t="s">
        <v>163</v>
      </c>
      <c r="F62" s="317"/>
      <c r="G62" s="317"/>
      <c r="H62" s="317"/>
    </row>
    <row r="63" spans="1:12" ht="15.75" thickBot="1" x14ac:dyDescent="0.3"/>
    <row r="64" spans="1:12" ht="20.25" thickBot="1" x14ac:dyDescent="0.3">
      <c r="A64" s="227" t="s">
        <v>46</v>
      </c>
      <c r="B64" s="59"/>
      <c r="C64" s="59"/>
      <c r="D64" s="59"/>
      <c r="E64" s="59"/>
      <c r="F64" s="59"/>
      <c r="G64" s="59"/>
      <c r="H64" s="142"/>
    </row>
    <row r="66" spans="1:11" ht="17.25" x14ac:dyDescent="0.25">
      <c r="A66" s="139" t="s">
        <v>23</v>
      </c>
      <c r="B66" s="140"/>
      <c r="C66" s="140"/>
      <c r="D66" s="141"/>
      <c r="E66" s="230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131870.39000000001</v>
      </c>
      <c r="F66" s="144"/>
      <c r="G66" s="144"/>
      <c r="H66" s="145"/>
    </row>
    <row r="67" spans="1:11" ht="17.25" x14ac:dyDescent="0.25">
      <c r="A67" s="149" t="s">
        <v>51</v>
      </c>
      <c r="B67" s="61"/>
      <c r="C67" s="61"/>
      <c r="D67" s="150"/>
      <c r="E67" s="231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6034.3658999999998</v>
      </c>
      <c r="F67" s="79"/>
      <c r="G67" s="79"/>
      <c r="H67" s="154"/>
    </row>
    <row r="68" spans="1:11" ht="17.25" x14ac:dyDescent="0.25">
      <c r="A68" s="149"/>
      <c r="B68" s="61"/>
      <c r="C68" s="61"/>
      <c r="D68" s="150"/>
      <c r="E68" s="231">
        <f>E66+E67</f>
        <v>137904.75590000002</v>
      </c>
      <c r="F68" s="79"/>
      <c r="G68" s="79"/>
      <c r="H68" s="154"/>
    </row>
    <row r="69" spans="1:11" ht="17.25" x14ac:dyDescent="0.25">
      <c r="A69" s="149" t="s">
        <v>54</v>
      </c>
      <c r="B69" s="61"/>
      <c r="C69" s="61"/>
      <c r="D69" s="150"/>
      <c r="E69" s="232">
        <v>0</v>
      </c>
      <c r="F69" s="4"/>
      <c r="G69" s="4"/>
      <c r="H69" s="157"/>
    </row>
    <row r="70" spans="1:11" ht="18" x14ac:dyDescent="0.25">
      <c r="A70" s="151" t="s">
        <v>56</v>
      </c>
      <c r="B70" s="152"/>
      <c r="C70" s="152"/>
      <c r="D70" s="153"/>
      <c r="E70" s="233">
        <f>E68+E69</f>
        <v>137904.75590000002</v>
      </c>
      <c r="F70" s="155"/>
      <c r="G70" s="155"/>
      <c r="H70" s="156"/>
    </row>
    <row r="71" spans="1:11" ht="15.75" thickBot="1" x14ac:dyDescent="0.3"/>
    <row r="72" spans="1:11" ht="19.5" thickBot="1" x14ac:dyDescent="0.35">
      <c r="A72" s="229" t="s">
        <v>38</v>
      </c>
      <c r="B72" s="158"/>
      <c r="C72" s="158"/>
      <c r="D72" s="159"/>
      <c r="E72" s="117" t="s">
        <v>39</v>
      </c>
      <c r="F72" s="117" t="s">
        <v>128</v>
      </c>
      <c r="G72" s="136" t="s">
        <v>68</v>
      </c>
      <c r="H72" s="117" t="s">
        <v>127</v>
      </c>
    </row>
    <row r="73" spans="1:11" ht="17.25" x14ac:dyDescent="0.3">
      <c r="A73" s="84" t="s">
        <v>168</v>
      </c>
      <c r="B73" s="137" t="s">
        <v>172</v>
      </c>
      <c r="C73" s="137"/>
      <c r="D73" s="137"/>
      <c r="E73" s="114">
        <v>0.02</v>
      </c>
      <c r="F73" s="83">
        <f>$E$70*E73</f>
        <v>2758.0951180000006</v>
      </c>
      <c r="G73" s="114">
        <v>0.02</v>
      </c>
      <c r="H73" s="115">
        <f>IF(G73=0,F73,F73-(F73*G73))</f>
        <v>2702.9332156400005</v>
      </c>
    </row>
    <row r="74" spans="1:11" ht="17.25" x14ac:dyDescent="0.3">
      <c r="A74" s="88" t="s">
        <v>167</v>
      </c>
      <c r="B74" s="3" t="s">
        <v>170</v>
      </c>
      <c r="C74" s="3"/>
      <c r="D74" s="3"/>
      <c r="E74" s="257">
        <v>0.15</v>
      </c>
      <c r="F74" s="5">
        <f t="shared" ref="F74:F79" si="1">$E$70*E74</f>
        <v>20685.713385000003</v>
      </c>
      <c r="G74" s="257">
        <v>0.03</v>
      </c>
      <c r="H74" s="87">
        <f t="shared" ref="H74:H79" si="2">IF(G74=0,F74,F74-(F74*G74))</f>
        <v>20065.141983450001</v>
      </c>
    </row>
    <row r="75" spans="1:11" ht="17.25" x14ac:dyDescent="0.3">
      <c r="A75" s="88" t="s">
        <v>166</v>
      </c>
      <c r="B75" s="3" t="s">
        <v>169</v>
      </c>
      <c r="C75" s="3"/>
      <c r="D75" s="3"/>
      <c r="E75" s="257">
        <v>0.2</v>
      </c>
      <c r="F75" s="5">
        <f t="shared" si="1"/>
        <v>27580.951180000004</v>
      </c>
      <c r="G75" s="257">
        <v>0.2</v>
      </c>
      <c r="H75" s="87">
        <f t="shared" si="2"/>
        <v>22064.760944000001</v>
      </c>
      <c r="J75" s="267"/>
    </row>
    <row r="76" spans="1:11" ht="17.25" x14ac:dyDescent="0.3">
      <c r="A76" s="88" t="s">
        <v>47</v>
      </c>
      <c r="B76" s="3" t="s">
        <v>48</v>
      </c>
      <c r="C76" s="3"/>
      <c r="D76" s="3"/>
      <c r="E76" s="257">
        <v>0.1</v>
      </c>
      <c r="F76" s="5">
        <f t="shared" si="1"/>
        <v>13790.475590000002</v>
      </c>
      <c r="G76" s="257">
        <v>0.1</v>
      </c>
      <c r="H76" s="87">
        <f t="shared" si="2"/>
        <v>12411.428031000001</v>
      </c>
      <c r="J76" s="267"/>
    </row>
    <row r="77" spans="1:11" ht="17.25" x14ac:dyDescent="0.3">
      <c r="A77" s="88" t="s">
        <v>59</v>
      </c>
      <c r="B77" s="3" t="s">
        <v>49</v>
      </c>
      <c r="C77" s="3"/>
      <c r="D77" s="3"/>
      <c r="E77" s="257">
        <v>0.2</v>
      </c>
      <c r="F77" s="5">
        <f t="shared" si="1"/>
        <v>27580.951180000004</v>
      </c>
      <c r="G77" s="257">
        <v>0.2</v>
      </c>
      <c r="H77" s="87">
        <f>IF(G77=0,F77,F77-(F77*G77))</f>
        <v>22064.760944000001</v>
      </c>
      <c r="J77" s="267"/>
      <c r="K77" s="94"/>
    </row>
    <row r="78" spans="1:11" ht="17.25" x14ac:dyDescent="0.3">
      <c r="A78" s="88" t="s">
        <v>52</v>
      </c>
      <c r="B78" s="3" t="s">
        <v>171</v>
      </c>
      <c r="C78" s="3"/>
      <c r="D78" s="3"/>
      <c r="E78" s="257">
        <v>0.3</v>
      </c>
      <c r="F78" s="5">
        <f t="shared" si="1"/>
        <v>41371.426770000005</v>
      </c>
      <c r="G78" s="257">
        <v>0.3</v>
      </c>
      <c r="H78" s="87">
        <f>IF(G78=0,F78,F78-(F78*G78))</f>
        <v>28959.998739000002</v>
      </c>
      <c r="J78" s="267">
        <f>H78+H79</f>
        <v>32973.027135690005</v>
      </c>
    </row>
    <row r="79" spans="1:11" ht="18" thickBot="1" x14ac:dyDescent="0.35">
      <c r="A79" s="89" t="s">
        <v>165</v>
      </c>
      <c r="B79" s="138" t="s">
        <v>164</v>
      </c>
      <c r="C79" s="138"/>
      <c r="D79" s="138"/>
      <c r="E79" s="116">
        <v>0.03</v>
      </c>
      <c r="F79" s="85">
        <f t="shared" si="1"/>
        <v>4137.1426770000007</v>
      </c>
      <c r="G79" s="116">
        <v>0.03</v>
      </c>
      <c r="H79" s="86">
        <f t="shared" si="2"/>
        <v>4013.0283966900006</v>
      </c>
      <c r="J79" s="268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304" t="s">
        <v>96</v>
      </c>
      <c r="F81" s="305"/>
      <c r="G81" s="306"/>
      <c r="H81" s="122">
        <f>H82*(1-(SUM(H73:H79)/H82))</f>
        <v>25622.703646219998</v>
      </c>
    </row>
    <row r="82" spans="1:11" ht="19.5" thickBot="1" x14ac:dyDescent="0.35">
      <c r="B82" s="118"/>
      <c r="C82" s="118"/>
      <c r="E82" s="304" t="s">
        <v>55</v>
      </c>
      <c r="F82" s="305"/>
      <c r="G82" s="306"/>
      <c r="H82" s="122">
        <f>SUM(F73:F79)</f>
        <v>137904.75590000002</v>
      </c>
      <c r="J82" s="94"/>
    </row>
    <row r="83" spans="1:11" ht="15.75" thickBot="1" x14ac:dyDescent="0.3"/>
    <row r="84" spans="1:11" ht="18.75" thickBot="1" x14ac:dyDescent="0.3">
      <c r="E84" s="307" t="s">
        <v>124</v>
      </c>
      <c r="F84" s="308"/>
      <c r="G84" s="309"/>
      <c r="H84" s="119">
        <f>H82-H81</f>
        <v>112282.05225378001</v>
      </c>
    </row>
    <row r="85" spans="1:11" ht="17.25" x14ac:dyDescent="0.3">
      <c r="A85" s="1"/>
      <c r="B85" s="256"/>
      <c r="C85" s="202"/>
      <c r="D85" s="202"/>
      <c r="E85" s="60"/>
      <c r="F85" s="184"/>
      <c r="G85" s="4"/>
      <c r="H85" s="79"/>
    </row>
    <row r="86" spans="1:11" ht="17.25" x14ac:dyDescent="0.3">
      <c r="D86" s="1"/>
      <c r="E86" s="60"/>
      <c r="F86" s="60"/>
      <c r="G86" s="3"/>
      <c r="H86" s="60"/>
      <c r="J86" s="275"/>
      <c r="K86" s="94"/>
    </row>
    <row r="87" spans="1:11" ht="17.25" x14ac:dyDescent="0.3">
      <c r="D87" s="319" t="s">
        <v>173</v>
      </c>
      <c r="E87" s="320"/>
      <c r="F87" s="269">
        <f>COUNT(D92:E97)</f>
        <v>3</v>
      </c>
      <c r="G87" s="259"/>
      <c r="H87" s="260">
        <f>SUM(H78:H79)/F87</f>
        <v>10991.009045230001</v>
      </c>
    </row>
    <row r="88" spans="1:11" ht="17.25" x14ac:dyDescent="0.3">
      <c r="D88" s="1"/>
      <c r="E88" s="1"/>
      <c r="F88" s="1"/>
      <c r="G88" s="1"/>
      <c r="H88" s="1"/>
    </row>
    <row r="89" spans="1:11" ht="17.25" x14ac:dyDescent="0.3">
      <c r="D89" s="319" t="s">
        <v>176</v>
      </c>
      <c r="E89" s="320"/>
      <c r="F89" s="274">
        <v>22</v>
      </c>
      <c r="G89" s="261"/>
      <c r="H89" s="260">
        <f>H87/F89</f>
        <v>499.5913202377273</v>
      </c>
    </row>
    <row r="90" spans="1:11" ht="17.25" x14ac:dyDescent="0.3">
      <c r="D90" s="1"/>
      <c r="E90" s="1"/>
      <c r="F90" s="1"/>
      <c r="G90" s="1"/>
      <c r="H90" s="1"/>
      <c r="K90" s="275"/>
    </row>
    <row r="91" spans="1:11" ht="17.25" x14ac:dyDescent="0.3">
      <c r="D91" s="318" t="s">
        <v>159</v>
      </c>
      <c r="E91" s="313"/>
      <c r="F91" s="313" t="s">
        <v>160</v>
      </c>
      <c r="G91" s="313"/>
      <c r="H91" s="262" t="s">
        <v>161</v>
      </c>
    </row>
    <row r="92" spans="1:11" ht="17.25" x14ac:dyDescent="0.3">
      <c r="D92" s="311">
        <v>1</v>
      </c>
      <c r="E92" s="311"/>
      <c r="F92" s="312">
        <v>2</v>
      </c>
      <c r="G92" s="312"/>
      <c r="H92" s="263">
        <f>$H$87</f>
        <v>10991.009045230001</v>
      </c>
    </row>
    <row r="93" spans="1:11" ht="17.25" x14ac:dyDescent="0.3">
      <c r="D93" s="312">
        <v>2</v>
      </c>
      <c r="E93" s="312"/>
      <c r="F93" s="312">
        <v>2</v>
      </c>
      <c r="G93" s="312"/>
      <c r="H93" s="263">
        <f>$H$87</f>
        <v>10991.009045230001</v>
      </c>
    </row>
    <row r="94" spans="1:11" ht="17.25" x14ac:dyDescent="0.3">
      <c r="D94" s="312">
        <v>3</v>
      </c>
      <c r="E94" s="312"/>
      <c r="F94" s="312">
        <v>4</v>
      </c>
      <c r="G94" s="312"/>
      <c r="H94" s="263">
        <f>$H$87</f>
        <v>10991.009045230001</v>
      </c>
    </row>
    <row r="95" spans="1:11" ht="17.25" x14ac:dyDescent="0.3">
      <c r="D95" s="312"/>
      <c r="E95" s="312"/>
      <c r="F95" s="312"/>
      <c r="G95" s="312"/>
      <c r="H95" s="263"/>
    </row>
    <row r="96" spans="1:11" ht="17.25" x14ac:dyDescent="0.3">
      <c r="D96" s="312" t="s">
        <v>183</v>
      </c>
      <c r="E96" s="312"/>
      <c r="F96" s="312">
        <v>10</v>
      </c>
      <c r="G96" s="312"/>
      <c r="H96" s="263">
        <f>F96*I96</f>
        <v>2717</v>
      </c>
      <c r="I96">
        <f>24.7*2*5.5</f>
        <v>271.7</v>
      </c>
    </row>
    <row r="97" spans="4:11" ht="17.25" x14ac:dyDescent="0.3">
      <c r="D97" s="312"/>
      <c r="E97" s="312"/>
      <c r="F97" s="312"/>
      <c r="G97" s="312"/>
      <c r="H97" s="263"/>
    </row>
    <row r="98" spans="4:11" ht="17.25" x14ac:dyDescent="0.3">
      <c r="D98" s="312"/>
      <c r="E98" s="312"/>
      <c r="F98" s="312"/>
      <c r="G98" s="312"/>
      <c r="H98" s="263"/>
    </row>
    <row r="100" spans="4:11" ht="22.5" customHeight="1" x14ac:dyDescent="0.3">
      <c r="D100" s="318" t="s">
        <v>174</v>
      </c>
      <c r="E100" s="313"/>
      <c r="F100" s="313"/>
      <c r="G100" s="313"/>
      <c r="H100" s="260">
        <f>SUM(H92:H97)</f>
        <v>35690.027135690005</v>
      </c>
    </row>
    <row r="101" spans="4:11" ht="17.25" x14ac:dyDescent="0.3">
      <c r="D101" s="3"/>
      <c r="E101" s="1"/>
      <c r="F101" s="1"/>
      <c r="G101" s="3"/>
      <c r="H101" s="263"/>
    </row>
    <row r="102" spans="4:11" ht="17.25" x14ac:dyDescent="0.3">
      <c r="D102" s="264" t="s">
        <v>162</v>
      </c>
      <c r="E102" s="259"/>
      <c r="F102" s="259"/>
      <c r="G102" s="259"/>
      <c r="H102" s="265">
        <f>SUM(F92:F94)</f>
        <v>8</v>
      </c>
      <c r="J102" s="258"/>
    </row>
    <row r="111" spans="4:11" x14ac:dyDescent="0.25">
      <c r="K111" s="121"/>
    </row>
    <row r="112" spans="4:11" x14ac:dyDescent="0.25">
      <c r="K112" s="120"/>
    </row>
    <row r="113" spans="4:5" x14ac:dyDescent="0.25">
      <c r="D113" s="310"/>
      <c r="E113" s="310"/>
    </row>
    <row r="114" spans="4:5" x14ac:dyDescent="0.25">
      <c r="D114" s="310"/>
      <c r="E114" s="310"/>
    </row>
    <row r="115" spans="4:5" x14ac:dyDescent="0.25">
      <c r="D115" s="310"/>
      <c r="E115" s="310"/>
    </row>
  </sheetData>
  <mergeCells count="39">
    <mergeCell ref="D100:E100"/>
    <mergeCell ref="F100:G100"/>
    <mergeCell ref="D113:E113"/>
    <mergeCell ref="D114:E114"/>
    <mergeCell ref="D115:E115"/>
    <mergeCell ref="D96:E96"/>
    <mergeCell ref="F96:G96"/>
    <mergeCell ref="F97:G97"/>
    <mergeCell ref="D98:E98"/>
    <mergeCell ref="F98:G98"/>
    <mergeCell ref="D97:E97"/>
    <mergeCell ref="J32:K32"/>
    <mergeCell ref="E61:H61"/>
    <mergeCell ref="F94:G94"/>
    <mergeCell ref="D95:E95"/>
    <mergeCell ref="F95:G95"/>
    <mergeCell ref="D94:E94"/>
    <mergeCell ref="D89:E89"/>
    <mergeCell ref="E62:H62"/>
    <mergeCell ref="E81:G81"/>
    <mergeCell ref="E82:G82"/>
    <mergeCell ref="E84:G84"/>
    <mergeCell ref="D87:E87"/>
    <mergeCell ref="F91:G91"/>
    <mergeCell ref="D92:E92"/>
    <mergeCell ref="F92:G92"/>
    <mergeCell ref="D93:E93"/>
    <mergeCell ref="F93:G93"/>
    <mergeCell ref="D91:E91"/>
    <mergeCell ref="J18:K18"/>
    <mergeCell ref="J21:K21"/>
    <mergeCell ref="J26:K26"/>
    <mergeCell ref="A22:B22"/>
    <mergeCell ref="J13:K13"/>
    <mergeCell ref="A11:H11"/>
    <mergeCell ref="A13:C13"/>
    <mergeCell ref="A14:C14"/>
    <mergeCell ref="A15:B15"/>
    <mergeCell ref="A42:B42"/>
  </mergeCells>
  <phoneticPr fontId="25" type="noConversion"/>
  <dataValidations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40" xr:uid="{C59AC45A-36C6-42B4-B117-4A53BA6E46DB}">
      <formula1>"Dewald, Hannes, Johan"</formula1>
    </dataValidation>
    <dataValidation type="list" allowBlank="1" showInputMessage="1" showErrorMessage="1" sqref="D16:D19 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40" t="s">
        <v>158</v>
      </c>
      <c r="B1" s="244" t="s">
        <v>153</v>
      </c>
      <c r="C1" s="244" t="s">
        <v>151</v>
      </c>
      <c r="D1" s="244" t="s">
        <v>155</v>
      </c>
      <c r="E1" s="243" t="s">
        <v>152</v>
      </c>
      <c r="F1" s="244" t="s">
        <v>113</v>
      </c>
    </row>
    <row r="2" spans="1:10" x14ac:dyDescent="0.25">
      <c r="A2" s="235" t="s">
        <v>131</v>
      </c>
      <c r="B2" s="245">
        <v>1</v>
      </c>
      <c r="C2" s="245">
        <v>2</v>
      </c>
      <c r="D2" s="245">
        <f>C2*B2</f>
        <v>2</v>
      </c>
      <c r="E2" s="236">
        <v>650</v>
      </c>
      <c r="F2" s="248">
        <f>(B2*C2)*E2</f>
        <v>1300</v>
      </c>
    </row>
    <row r="3" spans="1:10" x14ac:dyDescent="0.25">
      <c r="A3" s="237" t="s">
        <v>133</v>
      </c>
      <c r="B3" s="246">
        <v>1</v>
      </c>
      <c r="C3" s="246">
        <v>2</v>
      </c>
      <c r="D3" s="246">
        <f t="shared" ref="D3:D18" si="0">C3*B3</f>
        <v>2</v>
      </c>
      <c r="E3" s="173">
        <v>650</v>
      </c>
      <c r="F3" s="249">
        <f t="shared" ref="F3:F18" si="1">(B3*C3)*E3</f>
        <v>1300</v>
      </c>
    </row>
    <row r="4" spans="1:10" x14ac:dyDescent="0.25">
      <c r="A4" s="237" t="s">
        <v>139</v>
      </c>
      <c r="B4" s="246">
        <v>2</v>
      </c>
      <c r="C4" s="246">
        <v>2</v>
      </c>
      <c r="D4" s="246">
        <f t="shared" si="0"/>
        <v>4</v>
      </c>
      <c r="E4" s="173">
        <v>650</v>
      </c>
      <c r="F4" s="249">
        <f t="shared" si="1"/>
        <v>2600</v>
      </c>
    </row>
    <row r="5" spans="1:10" x14ac:dyDescent="0.25">
      <c r="A5" s="237" t="s">
        <v>132</v>
      </c>
      <c r="B5" s="246">
        <v>93</v>
      </c>
      <c r="C5" s="246">
        <v>0.05</v>
      </c>
      <c r="D5" s="246">
        <f t="shared" si="0"/>
        <v>4.6500000000000004</v>
      </c>
      <c r="E5" s="173">
        <v>650</v>
      </c>
      <c r="F5" s="249">
        <f t="shared" si="1"/>
        <v>3022.5000000000005</v>
      </c>
      <c r="J5" s="173"/>
    </row>
    <row r="6" spans="1:10" x14ac:dyDescent="0.25">
      <c r="A6" s="237" t="s">
        <v>134</v>
      </c>
      <c r="B6" s="246">
        <v>20</v>
      </c>
      <c r="C6" s="246">
        <v>0.15</v>
      </c>
      <c r="D6" s="246">
        <f t="shared" si="0"/>
        <v>3</v>
      </c>
      <c r="E6" s="173">
        <v>650</v>
      </c>
      <c r="F6" s="249">
        <f t="shared" si="1"/>
        <v>1950</v>
      </c>
    </row>
    <row r="7" spans="1:10" x14ac:dyDescent="0.25">
      <c r="A7" s="237" t="s">
        <v>140</v>
      </c>
      <c r="B7" s="246">
        <v>1</v>
      </c>
      <c r="C7" s="246">
        <v>0.25</v>
      </c>
      <c r="D7" s="246">
        <f t="shared" si="0"/>
        <v>0.25</v>
      </c>
      <c r="E7" s="173">
        <v>650</v>
      </c>
      <c r="F7" s="249">
        <f t="shared" si="1"/>
        <v>162.5</v>
      </c>
    </row>
    <row r="8" spans="1:10" x14ac:dyDescent="0.25">
      <c r="A8" s="237" t="s">
        <v>141</v>
      </c>
      <c r="B8" s="246">
        <v>1</v>
      </c>
      <c r="C8" s="246">
        <v>0.25</v>
      </c>
      <c r="D8" s="246">
        <f t="shared" si="0"/>
        <v>0.25</v>
      </c>
      <c r="E8" s="173">
        <v>650</v>
      </c>
      <c r="F8" s="249">
        <f t="shared" si="1"/>
        <v>162.5</v>
      </c>
    </row>
    <row r="9" spans="1:10" x14ac:dyDescent="0.25">
      <c r="A9" s="237" t="s">
        <v>142</v>
      </c>
      <c r="B9" s="246">
        <v>1</v>
      </c>
      <c r="C9" s="246">
        <v>0.25</v>
      </c>
      <c r="D9" s="246">
        <f t="shared" si="0"/>
        <v>0.25</v>
      </c>
      <c r="E9" s="173">
        <v>650</v>
      </c>
      <c r="F9" s="249">
        <f t="shared" si="1"/>
        <v>162.5</v>
      </c>
    </row>
    <row r="10" spans="1:10" x14ac:dyDescent="0.25">
      <c r="A10" s="237" t="s">
        <v>143</v>
      </c>
      <c r="B10" s="246">
        <v>1</v>
      </c>
      <c r="C10" s="246">
        <v>1</v>
      </c>
      <c r="D10" s="246">
        <f t="shared" si="0"/>
        <v>1</v>
      </c>
      <c r="E10" s="173">
        <v>650</v>
      </c>
      <c r="F10" s="249">
        <f t="shared" si="1"/>
        <v>650</v>
      </c>
    </row>
    <row r="11" spans="1:10" x14ac:dyDescent="0.25">
      <c r="A11" s="237" t="s">
        <v>144</v>
      </c>
      <c r="B11" s="246">
        <v>1</v>
      </c>
      <c r="C11" s="246">
        <v>1</v>
      </c>
      <c r="D11" s="246">
        <f t="shared" si="0"/>
        <v>1</v>
      </c>
      <c r="E11" s="173">
        <v>650</v>
      </c>
      <c r="F11" s="249">
        <f t="shared" si="1"/>
        <v>650</v>
      </c>
    </row>
    <row r="12" spans="1:10" x14ac:dyDescent="0.25">
      <c r="A12" s="237" t="s">
        <v>145</v>
      </c>
      <c r="B12" s="246">
        <v>1</v>
      </c>
      <c r="C12" s="246">
        <v>1</v>
      </c>
      <c r="D12" s="246">
        <f t="shared" si="0"/>
        <v>1</v>
      </c>
      <c r="E12" s="173">
        <v>650</v>
      </c>
      <c r="F12" s="249">
        <f t="shared" si="1"/>
        <v>650</v>
      </c>
    </row>
    <row r="13" spans="1:10" x14ac:dyDescent="0.25">
      <c r="A13" s="237" t="s">
        <v>154</v>
      </c>
      <c r="B13" s="246">
        <v>1</v>
      </c>
      <c r="C13" s="246">
        <v>2</v>
      </c>
      <c r="D13" s="246">
        <f t="shared" si="0"/>
        <v>2</v>
      </c>
      <c r="E13" s="173">
        <v>650</v>
      </c>
      <c r="F13" s="249">
        <f t="shared" si="1"/>
        <v>1300</v>
      </c>
      <c r="J13" s="234"/>
    </row>
    <row r="14" spans="1:10" x14ac:dyDescent="0.25">
      <c r="A14" s="237" t="s">
        <v>146</v>
      </c>
      <c r="B14" s="246">
        <v>1</v>
      </c>
      <c r="C14" s="246">
        <v>2</v>
      </c>
      <c r="D14" s="246">
        <f t="shared" si="0"/>
        <v>2</v>
      </c>
      <c r="E14" s="173">
        <v>650</v>
      </c>
      <c r="F14" s="249">
        <f t="shared" si="1"/>
        <v>1300</v>
      </c>
    </row>
    <row r="15" spans="1:10" x14ac:dyDescent="0.25">
      <c r="A15" s="237" t="s">
        <v>147</v>
      </c>
      <c r="B15" s="246">
        <v>1</v>
      </c>
      <c r="C15" s="246">
        <v>2</v>
      </c>
      <c r="D15" s="246">
        <f t="shared" si="0"/>
        <v>2</v>
      </c>
      <c r="E15" s="173">
        <v>650</v>
      </c>
      <c r="F15" s="249">
        <f t="shared" si="1"/>
        <v>1300</v>
      </c>
    </row>
    <row r="16" spans="1:10" x14ac:dyDescent="0.25">
      <c r="A16" s="237" t="s">
        <v>148</v>
      </c>
      <c r="B16" s="246">
        <v>2</v>
      </c>
      <c r="C16" s="246">
        <v>2</v>
      </c>
      <c r="D16" s="246">
        <f t="shared" si="0"/>
        <v>4</v>
      </c>
      <c r="E16" s="173">
        <v>650</v>
      </c>
      <c r="F16" s="249">
        <f t="shared" si="1"/>
        <v>2600</v>
      </c>
    </row>
    <row r="17" spans="1:8" x14ac:dyDescent="0.25">
      <c r="A17" s="237" t="s">
        <v>149</v>
      </c>
      <c r="B17" s="246">
        <v>1</v>
      </c>
      <c r="C17" s="246">
        <v>1</v>
      </c>
      <c r="D17" s="246">
        <f t="shared" si="0"/>
        <v>1</v>
      </c>
      <c r="E17" s="173">
        <v>650</v>
      </c>
      <c r="F17" s="249">
        <f t="shared" si="1"/>
        <v>650</v>
      </c>
    </row>
    <row r="18" spans="1:8" x14ac:dyDescent="0.25">
      <c r="A18" s="238" t="s">
        <v>150</v>
      </c>
      <c r="B18" s="247">
        <v>1</v>
      </c>
      <c r="C18" s="247">
        <v>2</v>
      </c>
      <c r="D18" s="247">
        <f t="shared" si="0"/>
        <v>2</v>
      </c>
      <c r="E18" s="239">
        <v>650</v>
      </c>
      <c r="F18" s="250">
        <f t="shared" si="1"/>
        <v>1300</v>
      </c>
      <c r="H18" s="97"/>
    </row>
    <row r="19" spans="1:8" x14ac:dyDescent="0.25">
      <c r="A19" s="253"/>
      <c r="B19" s="254"/>
      <c r="C19" s="254"/>
      <c r="D19" s="254">
        <f>SUM(D2:D18)</f>
        <v>32.4</v>
      </c>
      <c r="E19" s="255">
        <f>AVERAGE(E2:E18)</f>
        <v>650</v>
      </c>
      <c r="F19" s="252">
        <f>SUM(F2:F18)</f>
        <v>21060</v>
      </c>
      <c r="G19" s="173"/>
    </row>
    <row r="21" spans="1:8" x14ac:dyDescent="0.25">
      <c r="A21" s="240" t="s">
        <v>157</v>
      </c>
      <c r="B21" s="241"/>
      <c r="C21" s="241"/>
      <c r="D21" s="241"/>
      <c r="E21" s="241"/>
      <c r="F21" s="242">
        <f>D19</f>
        <v>32.4</v>
      </c>
    </row>
    <row r="22" spans="1:8" x14ac:dyDescent="0.25">
      <c r="A22" s="240" t="s">
        <v>156</v>
      </c>
      <c r="B22" s="241"/>
      <c r="C22" s="241"/>
      <c r="D22" s="241"/>
      <c r="E22" s="241"/>
      <c r="F22" s="242">
        <f>F21/8</f>
        <v>4.05</v>
      </c>
    </row>
    <row r="25" spans="1:8" x14ac:dyDescent="0.25">
      <c r="A25" s="251" t="s">
        <v>136</v>
      </c>
    </row>
    <row r="26" spans="1:8" x14ac:dyDescent="0.25">
      <c r="A26" t="s">
        <v>135</v>
      </c>
    </row>
    <row r="27" spans="1:8" x14ac:dyDescent="0.25">
      <c r="A27" t="s">
        <v>137</v>
      </c>
    </row>
    <row r="28" spans="1:8" x14ac:dyDescent="0.25">
      <c r="A28" t="s">
        <v>138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90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89</v>
      </c>
      <c r="C10" s="3" t="s">
        <v>163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343" t="s">
        <v>46</v>
      </c>
      <c r="C13" s="344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341" t="s">
        <v>55</v>
      </c>
      <c r="O14" s="342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345" t="s">
        <v>20</v>
      </c>
      <c r="C24" s="345"/>
      <c r="D24" s="345"/>
      <c r="E24" s="345"/>
      <c r="F24" s="345"/>
      <c r="G24" s="345"/>
    </row>
    <row r="25" spans="2:12" x14ac:dyDescent="0.3">
      <c r="B25" s="346" t="s">
        <v>21</v>
      </c>
      <c r="C25" s="346" t="s">
        <v>22</v>
      </c>
      <c r="D25" s="346"/>
      <c r="E25" s="346" t="s">
        <v>23</v>
      </c>
      <c r="F25" s="346" t="s">
        <v>24</v>
      </c>
      <c r="G25" s="346"/>
      <c r="J25" s="189" t="s">
        <v>91</v>
      </c>
      <c r="K25" s="190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1">
        <f>VLOOKUP(K25,E29:G40,2,FALSE)</f>
        <v>0.1361</v>
      </c>
    </row>
    <row r="26" spans="2:12" x14ac:dyDescent="0.3">
      <c r="B26" s="346"/>
      <c r="C26" s="10"/>
      <c r="D26" s="10"/>
      <c r="E26" s="346"/>
      <c r="F26" s="10"/>
      <c r="G26" s="10"/>
      <c r="J26" s="77" t="s">
        <v>95</v>
      </c>
      <c r="K26" s="5">
        <f>K25+L27</f>
        <v>450550.3639</v>
      </c>
      <c r="L26" s="192">
        <f>VLOOKUP(K25,E29:G40,3,FALSE)</f>
        <v>2000001</v>
      </c>
    </row>
    <row r="27" spans="2:12" x14ac:dyDescent="0.3">
      <c r="B27" s="346"/>
      <c r="C27" s="10" t="s">
        <v>25</v>
      </c>
      <c r="D27" s="10" t="s">
        <v>26</v>
      </c>
      <c r="E27" s="346"/>
      <c r="F27" s="10" t="s">
        <v>27</v>
      </c>
      <c r="G27" s="10" t="s">
        <v>28</v>
      </c>
      <c r="J27" s="193"/>
      <c r="K27" s="194" t="s">
        <v>121</v>
      </c>
      <c r="L27" s="195">
        <f>(C9-L26)*L25</f>
        <v>86287.263900000005</v>
      </c>
    </row>
    <row r="28" spans="2:12" x14ac:dyDescent="0.3">
      <c r="B28" s="346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85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3" t="s">
        <v>24</v>
      </c>
      <c r="G44" s="204"/>
      <c r="J44" s="189" t="s">
        <v>91</v>
      </c>
      <c r="K44" s="190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1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95</v>
      </c>
      <c r="K45" s="5">
        <f>K44+L46</f>
        <v>387001.32310000004</v>
      </c>
      <c r="L45" s="192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3"/>
      <c r="K46" s="194" t="s">
        <v>121</v>
      </c>
      <c r="L46" s="195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85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86"/>
      <c r="D60" s="187"/>
      <c r="E60" s="186"/>
      <c r="F60" s="188"/>
      <c r="G60" s="186"/>
      <c r="L60" s="56"/>
    </row>
    <row r="61" spans="2:12" x14ac:dyDescent="0.3">
      <c r="K61" s="91"/>
      <c r="L61" s="64"/>
    </row>
    <row r="62" spans="2:12" x14ac:dyDescent="0.3">
      <c r="B62" s="58" t="s">
        <v>120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3" t="s">
        <v>24</v>
      </c>
      <c r="G63" s="204"/>
      <c r="J63" s="189" t="s">
        <v>91</v>
      </c>
      <c r="K63" s="190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1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95</v>
      </c>
      <c r="K64" s="5">
        <f>K63+L65</f>
        <v>323452.27230000001</v>
      </c>
      <c r="L64" s="192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3"/>
      <c r="K65" s="194" t="s">
        <v>121</v>
      </c>
      <c r="L65" s="195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85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 Fees (SDP)</vt:lpstr>
      <vt:lpstr>Fees (MS)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2024-07-08T11:04:32Z</dcterms:modified>
</cp:coreProperties>
</file>