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wald\Desktop\BACKUP\Admin\QUOTES\2024\House Bester\"/>
    </mc:Choice>
  </mc:AlternateContent>
  <xr:revisionPtr revIDLastSave="0" documentId="13_ncr:1_{8BB3DB4F-ABCF-404D-9F70-4EBDD8DAE2E8}" xr6:coauthVersionLast="47" xr6:coauthVersionMax="47" xr10:uidLastSave="{00000000-0000-0000-0000-000000000000}"/>
  <bookViews>
    <workbookView xWindow="22932" yWindow="-192" windowWidth="23256" windowHeight="12456" activeTab="2" xr2:uid="{260A762B-E942-4A40-AAE5-7E980C9B525F}"/>
  </bookViews>
  <sheets>
    <sheet name="Employees" sheetId="1" r:id="rId1"/>
    <sheet name=" Fees (SDP)" sheetId="3" r:id="rId2"/>
    <sheet name="Fees (MS)" sheetId="5" r:id="rId3"/>
    <sheet name="4.2" sheetId="4" r:id="rId4"/>
    <sheet name="Data" sheetId="2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9" i="5" l="1"/>
  <c r="H18" i="5"/>
  <c r="H36" i="5"/>
  <c r="G17" i="5" l="1"/>
  <c r="G16" i="5"/>
  <c r="H38" i="5"/>
  <c r="H34" i="5" s="1"/>
  <c r="H37" i="5"/>
  <c r="H102" i="5" l="1"/>
  <c r="I96" i="5"/>
  <c r="H96" i="5" s="1"/>
  <c r="K15" i="5" l="1"/>
  <c r="K23" i="5" s="1"/>
  <c r="F16" i="3" l="1"/>
  <c r="F20" i="3"/>
  <c r="F87" i="5"/>
  <c r="H59" i="5"/>
  <c r="E61" i="5" s="1"/>
  <c r="G59" i="5"/>
  <c r="G15" i="5"/>
  <c r="G15" i="3"/>
  <c r="F18" i="3"/>
  <c r="H18" i="3" s="1"/>
  <c r="F19" i="3"/>
  <c r="E18" i="3"/>
  <c r="F17" i="3"/>
  <c r="K78" i="3"/>
  <c r="H96" i="3"/>
  <c r="F81" i="3"/>
  <c r="H44" i="5" l="1"/>
  <c r="H46" i="5" s="1"/>
  <c r="H17" i="5"/>
  <c r="H16" i="5"/>
  <c r="F15" i="5"/>
  <c r="E66" i="5"/>
  <c r="E67" i="5" s="1"/>
  <c r="E19" i="4"/>
  <c r="D3" i="4"/>
  <c r="D4" i="4"/>
  <c r="D5" i="4"/>
  <c r="D6" i="4"/>
  <c r="D7" i="4"/>
  <c r="D8" i="4"/>
  <c r="D9" i="4"/>
  <c r="D10" i="4"/>
  <c r="D11" i="4"/>
  <c r="D12" i="4"/>
  <c r="D13" i="4"/>
  <c r="D14" i="4"/>
  <c r="D15" i="4"/>
  <c r="D16" i="4"/>
  <c r="D17" i="4"/>
  <c r="D18" i="4"/>
  <c r="D2" i="4"/>
  <c r="F5" i="4"/>
  <c r="F3" i="4"/>
  <c r="F4" i="4"/>
  <c r="F6" i="4"/>
  <c r="F7" i="4"/>
  <c r="F8" i="4"/>
  <c r="F9" i="4"/>
  <c r="F10" i="4"/>
  <c r="F11" i="4"/>
  <c r="F12" i="4"/>
  <c r="F13" i="4"/>
  <c r="F14" i="4"/>
  <c r="F15" i="4"/>
  <c r="F16" i="4"/>
  <c r="F17" i="4"/>
  <c r="F18" i="4"/>
  <c r="F2" i="4"/>
  <c r="G53" i="3"/>
  <c r="H20" i="3"/>
  <c r="H38" i="3"/>
  <c r="H15" i="5" l="1"/>
  <c r="H25" i="5" s="1"/>
  <c r="E68" i="5"/>
  <c r="E70" i="5" s="1"/>
  <c r="D19" i="4"/>
  <c r="F21" i="4" s="1"/>
  <c r="F22" i="4" s="1"/>
  <c r="F19" i="4"/>
  <c r="H37" i="3"/>
  <c r="C14" i="2"/>
  <c r="C15" i="2" s="1"/>
  <c r="H35" i="3"/>
  <c r="H36" i="3"/>
  <c r="H34" i="3"/>
  <c r="K63" i="2"/>
  <c r="K36" i="3"/>
  <c r="M54" i="3"/>
  <c r="M53" i="3"/>
  <c r="M52" i="3"/>
  <c r="M51" i="3"/>
  <c r="M50" i="3"/>
  <c r="M49" i="3"/>
  <c r="M48" i="3"/>
  <c r="M47" i="3"/>
  <c r="K21" i="1"/>
  <c r="F15" i="1"/>
  <c r="G15" i="1" s="1"/>
  <c r="C21" i="1" s="1"/>
  <c r="E21" i="1" s="1"/>
  <c r="G21" i="1" s="1"/>
  <c r="E17" i="3" s="1"/>
  <c r="H26" i="5" l="1"/>
  <c r="H27" i="5" s="1"/>
  <c r="K14" i="5" s="1"/>
  <c r="F79" i="5"/>
  <c r="H79" i="5" s="1"/>
  <c r="F78" i="5"/>
  <c r="H78" i="5" s="1"/>
  <c r="F76" i="5"/>
  <c r="H76" i="5" s="1"/>
  <c r="F74" i="5"/>
  <c r="H74" i="5" s="1"/>
  <c r="F77" i="5"/>
  <c r="H77" i="5" s="1"/>
  <c r="F75" i="5"/>
  <c r="H75" i="5" s="1"/>
  <c r="F73" i="5"/>
  <c r="L63" i="2"/>
  <c r="H33" i="3"/>
  <c r="H40" i="3" s="1"/>
  <c r="H42" i="3" s="1"/>
  <c r="L64" i="2"/>
  <c r="H53" i="3"/>
  <c r="M55" i="3"/>
  <c r="F15" i="3"/>
  <c r="H21" i="1"/>
  <c r="M15" i="3"/>
  <c r="K16" i="5" l="1"/>
  <c r="K19" i="5" s="1"/>
  <c r="K27" i="5"/>
  <c r="J38" i="5"/>
  <c r="K38" i="5" s="1"/>
  <c r="H87" i="5"/>
  <c r="H89" i="5" s="1"/>
  <c r="H82" i="5"/>
  <c r="H73" i="5"/>
  <c r="L65" i="2"/>
  <c r="K64" i="2" s="1"/>
  <c r="E55" i="3"/>
  <c r="E60" i="3" s="1"/>
  <c r="E61" i="3" s="1"/>
  <c r="E5" i="2"/>
  <c r="F14" i="1"/>
  <c r="G14" i="1" s="1"/>
  <c r="C20" i="1" s="1"/>
  <c r="F13" i="1"/>
  <c r="G13" i="1" s="1"/>
  <c r="C19" i="1" s="1"/>
  <c r="H81" i="5" l="1"/>
  <c r="H84" i="5" s="1"/>
  <c r="K22" i="5"/>
  <c r="K24" i="5" s="1"/>
  <c r="K28" i="5" s="1"/>
  <c r="K29" i="5" s="1"/>
  <c r="H93" i="5"/>
  <c r="H94" i="5"/>
  <c r="H92" i="5"/>
  <c r="E62" i="3"/>
  <c r="E64" i="3" s="1"/>
  <c r="E20" i="1"/>
  <c r="E19" i="1"/>
  <c r="G19" i="1" s="1"/>
  <c r="K25" i="2"/>
  <c r="K44" i="2"/>
  <c r="H100" i="5" l="1"/>
  <c r="F67" i="3"/>
  <c r="H67" i="3" s="1"/>
  <c r="F70" i="3"/>
  <c r="H70" i="3" s="1"/>
  <c r="F73" i="3"/>
  <c r="F71" i="3"/>
  <c r="F68" i="3"/>
  <c r="H68" i="3" s="1"/>
  <c r="F72" i="3"/>
  <c r="H72" i="3" s="1"/>
  <c r="F69" i="3"/>
  <c r="H69" i="3" s="1"/>
  <c r="G20" i="1"/>
  <c r="H19" i="1"/>
  <c r="F5" i="2"/>
  <c r="G5" i="2" s="1"/>
  <c r="H5" i="2" s="1"/>
  <c r="L45" i="2"/>
  <c r="L44" i="2"/>
  <c r="L26" i="2"/>
  <c r="L25" i="2"/>
  <c r="C16" i="2"/>
  <c r="C18" i="2" s="1"/>
  <c r="H71" i="3" l="1"/>
  <c r="H76" i="3"/>
  <c r="H73" i="3"/>
  <c r="H81" i="3" s="1"/>
  <c r="E19" i="3"/>
  <c r="H19" i="3" s="1"/>
  <c r="H17" i="3"/>
  <c r="E16" i="3"/>
  <c r="H16" i="3" s="1"/>
  <c r="H20" i="1"/>
  <c r="L27" i="2"/>
  <c r="K26" i="2" s="1"/>
  <c r="Q9" i="2"/>
  <c r="Q11" i="2"/>
  <c r="W11" i="2" s="1"/>
  <c r="S11" i="2" s="1"/>
  <c r="Q10" i="2"/>
  <c r="W10" i="2" s="1"/>
  <c r="S10" i="2" s="1"/>
  <c r="Q12" i="2"/>
  <c r="W12" i="2" s="1"/>
  <c r="S12" i="2" s="1"/>
  <c r="L46" i="2"/>
  <c r="K45" i="2" s="1"/>
  <c r="H87" i="3" l="1"/>
  <c r="H88" i="3"/>
  <c r="H86" i="3"/>
  <c r="H89" i="3"/>
  <c r="H83" i="3"/>
  <c r="F83" i="3" s="1"/>
  <c r="H75" i="3"/>
  <c r="H78" i="3" s="1"/>
  <c r="H15" i="3"/>
  <c r="Q14" i="2"/>
  <c r="W9" i="2"/>
  <c r="S9" i="2" s="1"/>
  <c r="S15" i="2" s="1"/>
  <c r="H94" i="3" l="1"/>
  <c r="H24" i="3"/>
  <c r="H25" i="3" s="1"/>
  <c r="H26" i="3" s="1"/>
  <c r="J24" i="3" l="1"/>
  <c r="M19" i="3"/>
  <c r="L33" i="3" l="1"/>
  <c r="K24" i="3"/>
  <c r="L24" i="3" s="1"/>
  <c r="L35" i="3"/>
  <c r="L34" i="3"/>
  <c r="N24" i="3" l="1"/>
  <c r="M24" i="3" s="1"/>
  <c r="L36" i="3"/>
  <c r="M26" i="3" l="1"/>
  <c r="M28" i="3" s="1"/>
</calcChain>
</file>

<file path=xl/sharedStrings.xml><?xml version="1.0" encoding="utf-8"?>
<sst xmlns="http://schemas.openxmlformats.org/spreadsheetml/2006/main" count="362" uniqueCount="210">
  <si>
    <t>Position</t>
  </si>
  <si>
    <t>Name</t>
  </si>
  <si>
    <t>Director</t>
  </si>
  <si>
    <t>Total</t>
  </si>
  <si>
    <t>Total:</t>
  </si>
  <si>
    <t>Hannes Gouws</t>
  </si>
  <si>
    <t>Dewald Potgieter</t>
  </si>
  <si>
    <r>
      <t xml:space="preserve">EMPLOYEE </t>
    </r>
    <r>
      <rPr>
        <sz val="16"/>
        <color theme="1"/>
        <rFont val="Century Gothic"/>
        <family val="2"/>
      </rPr>
      <t>SALARIES</t>
    </r>
    <r>
      <rPr>
        <b/>
        <sz val="16"/>
        <color theme="1"/>
        <rFont val="Century Gothic"/>
        <family val="2"/>
      </rPr>
      <t>:</t>
    </r>
  </si>
  <si>
    <r>
      <t xml:space="preserve">EMPLOYEE </t>
    </r>
    <r>
      <rPr>
        <sz val="16"/>
        <color theme="1"/>
        <rFont val="Century Gothic"/>
        <family val="2"/>
      </rPr>
      <t>HOURLY RATES</t>
    </r>
    <r>
      <rPr>
        <b/>
        <sz val="16"/>
        <color theme="1"/>
        <rFont val="Century Gothic"/>
        <family val="2"/>
      </rPr>
      <t>:</t>
    </r>
  </si>
  <si>
    <t>Days per month</t>
  </si>
  <si>
    <t>Hrs Per Day</t>
  </si>
  <si>
    <t>Growth Contribution</t>
  </si>
  <si>
    <t>Total per day</t>
  </si>
  <si>
    <t>Total hourly Rate</t>
  </si>
  <si>
    <t>Professional Fees Calculations:</t>
  </si>
  <si>
    <t>Building</t>
  </si>
  <si>
    <t>Size (m²)</t>
  </si>
  <si>
    <t>Yes</t>
  </si>
  <si>
    <t>Days</t>
  </si>
  <si>
    <t xml:space="preserve">Total </t>
  </si>
  <si>
    <r>
      <t xml:space="preserve">Table 1: Project Cost-based Fee </t>
    </r>
    <r>
      <rPr>
        <b/>
        <sz val="12"/>
        <color indexed="10"/>
        <rFont val="Arial"/>
        <family val="2"/>
      </rPr>
      <t>HIGH COMPLEXITY</t>
    </r>
  </si>
  <si>
    <t>Cost Bracket</t>
  </si>
  <si>
    <t>Value of Works</t>
  </si>
  <si>
    <t>Primary Fee</t>
  </si>
  <si>
    <t>Plus Secondary Fee</t>
  </si>
  <si>
    <t>From</t>
  </si>
  <si>
    <t>To</t>
  </si>
  <si>
    <t>Add %</t>
  </si>
  <si>
    <t>On Balance Over</t>
  </si>
  <si>
    <t>A</t>
  </si>
  <si>
    <t>B</t>
  </si>
  <si>
    <t>C</t>
  </si>
  <si>
    <t>D</t>
  </si>
  <si>
    <t>E</t>
  </si>
  <si>
    <t>Travel:</t>
  </si>
  <si>
    <t>Distance: (km)</t>
  </si>
  <si>
    <t>Rate: (per km)</t>
  </si>
  <si>
    <t>Project Cost</t>
  </si>
  <si>
    <t>Work Stages</t>
  </si>
  <si>
    <t>% of Fee</t>
  </si>
  <si>
    <t>Fee ex VAT</t>
  </si>
  <si>
    <t>% Discount</t>
  </si>
  <si>
    <t>Final Fees ex VAT</t>
  </si>
  <si>
    <t>Appointment By Client:</t>
  </si>
  <si>
    <t>Design</t>
  </si>
  <si>
    <t>Stages 1 - 3</t>
  </si>
  <si>
    <t>Professional Fees: (ex. VAT)</t>
  </si>
  <si>
    <t>Municipal Submission</t>
  </si>
  <si>
    <t>Stage 4.1</t>
  </si>
  <si>
    <t>Stage 4.2</t>
  </si>
  <si>
    <t>No</t>
  </si>
  <si>
    <t>Secondary fee</t>
  </si>
  <si>
    <t>Construction</t>
  </si>
  <si>
    <t>Stages 5 - 6</t>
  </si>
  <si>
    <t>Additions and alterations Extra| N.A.</t>
  </si>
  <si>
    <t>Total ex. Discount</t>
  </si>
  <si>
    <t>Stages 1 - 6</t>
  </si>
  <si>
    <t>Total incl. Discount</t>
  </si>
  <si>
    <t>Ex. VAT</t>
  </si>
  <si>
    <t>Tender &amp; Tech Drawings</t>
  </si>
  <si>
    <r>
      <t xml:space="preserve">Table 2: Project Cost-based Fee </t>
    </r>
    <r>
      <rPr>
        <b/>
        <sz val="12"/>
        <color indexed="10"/>
        <rFont val="Arial"/>
        <family val="2"/>
      </rPr>
      <t>MEDIUM COMPLEXITY</t>
    </r>
  </si>
  <si>
    <t>Professional Works</t>
  </si>
  <si>
    <t>Est. Hrs</t>
  </si>
  <si>
    <t>Team Member</t>
  </si>
  <si>
    <t>Hrly Rate</t>
  </si>
  <si>
    <t>HOURLY FEES</t>
  </si>
  <si>
    <t>Min</t>
  </si>
  <si>
    <t>Estimated Build Cost: (For Cost Based Fees)</t>
  </si>
  <si>
    <t>Discount</t>
  </si>
  <si>
    <t>TOTAL:</t>
  </si>
  <si>
    <t>m² Rate</t>
  </si>
  <si>
    <t>PER M² FEES</t>
  </si>
  <si>
    <t xml:space="preserve">m² </t>
  </si>
  <si>
    <t>Company Fees</t>
  </si>
  <si>
    <t>Per Day Rate + Business Fees</t>
  </si>
  <si>
    <t>Total Drawing Days</t>
  </si>
  <si>
    <t>Hours out of office</t>
  </si>
  <si>
    <t>Dewald</t>
  </si>
  <si>
    <t>Project Daily Rate</t>
  </si>
  <si>
    <t>Discount:</t>
  </si>
  <si>
    <t>Total Professional Fees:</t>
  </si>
  <si>
    <t>Phase 1:</t>
  </si>
  <si>
    <t>Admin</t>
  </si>
  <si>
    <t>Business (After TAX)</t>
  </si>
  <si>
    <t>Employee (sub 2,4)</t>
  </si>
  <si>
    <t>15% Savings</t>
  </si>
  <si>
    <t>Business (incl 15% Savings)</t>
  </si>
  <si>
    <t>Business Account:</t>
  </si>
  <si>
    <t>5% Business TAX</t>
  </si>
  <si>
    <t>Complexity</t>
  </si>
  <si>
    <t>(Project cost - E) * D</t>
  </si>
  <si>
    <t>(Project - E) * D</t>
  </si>
  <si>
    <t>Est. Build cost</t>
  </si>
  <si>
    <t>Nr.</t>
  </si>
  <si>
    <t>Per/Hr</t>
  </si>
  <si>
    <t>Total Fees</t>
  </si>
  <si>
    <t>Discount overall</t>
  </si>
  <si>
    <t>Hannes</t>
  </si>
  <si>
    <t>Tech</t>
  </si>
  <si>
    <t>Johan Hugo</t>
  </si>
  <si>
    <t>basic tech drawings only</t>
  </si>
  <si>
    <t>Snr. Tech</t>
  </si>
  <si>
    <t>Vanity</t>
  </si>
  <si>
    <t>plumbing points</t>
  </si>
  <si>
    <t>Basins</t>
  </si>
  <si>
    <t>Shower Panel</t>
  </si>
  <si>
    <t>Shower Rose</t>
  </si>
  <si>
    <t>Toilet</t>
  </si>
  <si>
    <t>bath</t>
  </si>
  <si>
    <t>Shower Mixer</t>
  </si>
  <si>
    <t>Master En-suite</t>
  </si>
  <si>
    <t>Price per item</t>
  </si>
  <si>
    <t>Items</t>
  </si>
  <si>
    <t>Totals</t>
  </si>
  <si>
    <t>Deposit Payment</t>
  </si>
  <si>
    <t>Interim Payment</t>
  </si>
  <si>
    <t>Balance Payment</t>
  </si>
  <si>
    <t>Payment Terms</t>
  </si>
  <si>
    <t>percentages</t>
  </si>
  <si>
    <t>Amount</t>
  </si>
  <si>
    <r>
      <t xml:space="preserve">Table 2: Project Cost-based Fee </t>
    </r>
    <r>
      <rPr>
        <b/>
        <sz val="12"/>
        <color indexed="10"/>
        <rFont val="Arial"/>
        <family val="2"/>
      </rPr>
      <t>LOW COMPLEXITY</t>
    </r>
  </si>
  <si>
    <t>Secondary Fee:</t>
  </si>
  <si>
    <t>Municipal Drawings</t>
  </si>
  <si>
    <t xml:space="preserve">Total Professional Fees: </t>
  </si>
  <si>
    <t xml:space="preserve">Total incl. Discount (ex.VAT) </t>
  </si>
  <si>
    <t>Gross Salary</t>
  </si>
  <si>
    <t>Site Inspection + Form 4</t>
  </si>
  <si>
    <t>Final Fees (ex VAT)</t>
  </si>
  <si>
    <t>Fee (ex VAT)</t>
  </si>
  <si>
    <t>Handling of the occupation application</t>
  </si>
  <si>
    <t>Johan</t>
  </si>
  <si>
    <t>Eave details</t>
  </si>
  <si>
    <t>Electrical Detailed Layouts</t>
  </si>
  <si>
    <t>Ceiling details</t>
  </si>
  <si>
    <t>Plug postions</t>
  </si>
  <si>
    <t>Joinery Details</t>
  </si>
  <si>
    <t>Part of Cornelia</t>
  </si>
  <si>
    <t>Walls Finish Selection</t>
  </si>
  <si>
    <t>Floor finish Selection + Set-out</t>
  </si>
  <si>
    <t>Floor Transition details</t>
  </si>
  <si>
    <t>Incoming gas details (sleeves)</t>
  </si>
  <si>
    <t>Incoming power details (sleeves)</t>
  </si>
  <si>
    <t>Sleeving allowances @ Paving</t>
  </si>
  <si>
    <t>Concrete drip details</t>
  </si>
  <si>
    <t>Concrete flat roof details</t>
  </si>
  <si>
    <t>Window details (cill + waterproofing)</t>
  </si>
  <si>
    <t>Decking details</t>
  </si>
  <si>
    <t>Pool details</t>
  </si>
  <si>
    <t>Balustrade details</t>
  </si>
  <si>
    <t>Plinth details</t>
  </si>
  <si>
    <t>Planterbox details</t>
  </si>
  <si>
    <t>Hours</t>
  </si>
  <si>
    <t>Rates</t>
  </si>
  <si>
    <t>Quantity</t>
  </si>
  <si>
    <t>Door details (cilll + waterproofing)</t>
  </si>
  <si>
    <t>Total hours</t>
  </si>
  <si>
    <t>Total Days</t>
  </si>
  <si>
    <t>Total Hours</t>
  </si>
  <si>
    <t>4.2 - Drawings required</t>
  </si>
  <si>
    <t>Months:</t>
  </si>
  <si>
    <t>Visit a month:</t>
  </si>
  <si>
    <t>Total Monthly Fees:</t>
  </si>
  <si>
    <t>Total Site visits:</t>
  </si>
  <si>
    <t>Medium</t>
  </si>
  <si>
    <t>Stage 6</t>
  </si>
  <si>
    <t>Close - Out</t>
  </si>
  <si>
    <t>Design Development</t>
  </si>
  <si>
    <t>Concept design</t>
  </si>
  <si>
    <t>Inception</t>
  </si>
  <si>
    <t>Stage 3</t>
  </si>
  <si>
    <t>Stage 2</t>
  </si>
  <si>
    <t>Stage 5</t>
  </si>
  <si>
    <t>Stage 1</t>
  </si>
  <si>
    <t>Monthly Fees</t>
  </si>
  <si>
    <t>Total Drawing Fees:</t>
  </si>
  <si>
    <t xml:space="preserve"> </t>
  </si>
  <si>
    <t>Daily Rate (hrs a day):</t>
  </si>
  <si>
    <t>SDP Drawings and Submission</t>
  </si>
  <si>
    <t>Municipal Drawings &amp; Documentation</t>
  </si>
  <si>
    <t>Municipal submission admin</t>
  </si>
  <si>
    <t>Measure and amend</t>
  </si>
  <si>
    <t>SDP Submission admin</t>
  </si>
  <si>
    <t>cal</t>
  </si>
  <si>
    <t>Site visits</t>
  </si>
  <si>
    <t>Tender drawings</t>
  </si>
  <si>
    <t>50% of Tender drawings</t>
  </si>
  <si>
    <t>Total (excl. Tender)</t>
  </si>
  <si>
    <t>70% of Fees (excl. Tender)</t>
  </si>
  <si>
    <t>30% of Fees (excl. Tender)</t>
  </si>
  <si>
    <t xml:space="preserve"> Payment 1</t>
  </si>
  <si>
    <t>Payment 2</t>
  </si>
  <si>
    <t>Payment 3</t>
  </si>
  <si>
    <t>Payment Plan:</t>
  </si>
  <si>
    <t>Remainder of total fees</t>
  </si>
  <si>
    <t>Payment 1 + 2</t>
  </si>
  <si>
    <t>Kitchen</t>
  </si>
  <si>
    <t>Entertainment Area</t>
  </si>
  <si>
    <t>General Bathroom + Ensuite</t>
  </si>
  <si>
    <t>En-suite Desser</t>
  </si>
  <si>
    <t>General house alterations (everything except 2 bedrooms)</t>
  </si>
  <si>
    <t>Spaces:</t>
  </si>
  <si>
    <t>Estimated Project Cost</t>
  </si>
  <si>
    <t>Additions</t>
  </si>
  <si>
    <t>Change drawings</t>
  </si>
  <si>
    <t>Admin + Travel</t>
  </si>
  <si>
    <t>Staff</t>
  </si>
  <si>
    <t>Carport</t>
  </si>
  <si>
    <t>New Roof</t>
  </si>
  <si>
    <t>Internal changes</t>
  </si>
  <si>
    <t>Outbuilding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</si>
</sst>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8" formatCode="&quot;R&quot;#,##0.00;[Red]\-&quot;R&quot;#,##0.00"/>
    <numFmt numFmtId="44" formatCode="_-&quot;R&quot;* #,##0.00_-;\-&quot;R&quot;* #,##0.00_-;_-&quot;R&quot;* &quot;-&quot;??_-;_-@_-"/>
    <numFmt numFmtId="164" formatCode="&quot;R&quot;#,##0.00"/>
    <numFmt numFmtId="165" formatCode="&quot;R&quot;#,##0"/>
    <numFmt numFmtId="166" formatCode="[$R-1C09]\ #,##0"/>
    <numFmt numFmtId="167" formatCode="[$R-1C09]#,##0.00"/>
    <numFmt numFmtId="168" formatCode="0.0%"/>
    <numFmt numFmtId="169" formatCode="General\ &quot;Visits&quot;"/>
    <numFmt numFmtId="170" formatCode="0.00&quot; Days&quot;"/>
    <numFmt numFmtId="171" formatCode="General&quot; Months&quot;"/>
    <numFmt numFmtId="172" formatCode="General&quot; Days&quot;"/>
    <numFmt numFmtId="173" formatCode="General&quot; km&quot;"/>
  </numFmts>
  <fonts count="2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entury Gothic"/>
      <family val="2"/>
    </font>
    <font>
      <sz val="12"/>
      <color theme="1"/>
      <name val="Century Gothic"/>
      <family val="2"/>
    </font>
    <font>
      <sz val="14"/>
      <color theme="1"/>
      <name val="Century Gothic"/>
      <family val="2"/>
    </font>
    <font>
      <sz val="16"/>
      <color theme="1"/>
      <name val="Century Gothic"/>
      <family val="2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  <font>
      <b/>
      <sz val="14"/>
      <color theme="1"/>
      <name val="Century Gothic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0"/>
      <name val="Arial"/>
      <family val="2"/>
    </font>
    <font>
      <b/>
      <sz val="12"/>
      <color theme="0"/>
      <name val="Century Gothic"/>
      <family val="2"/>
    </font>
    <font>
      <sz val="10"/>
      <color theme="1"/>
      <name val="Century Gothic"/>
      <family val="2"/>
    </font>
    <font>
      <sz val="12"/>
      <color rgb="FFFF0000"/>
      <name val="Century Gothic"/>
      <family val="2"/>
    </font>
    <font>
      <sz val="12"/>
      <color theme="0" tint="-0.499984740745262"/>
      <name val="Century Gothic"/>
      <family val="2"/>
    </font>
    <font>
      <sz val="11"/>
      <color theme="1"/>
      <name val="Calibri"/>
      <family val="2"/>
      <scheme val="minor"/>
    </font>
    <font>
      <b/>
      <sz val="12"/>
      <name val="Century Gothic"/>
      <family val="2"/>
    </font>
    <font>
      <b/>
      <sz val="14"/>
      <name val="Century Gothic"/>
      <family val="2"/>
    </font>
    <font>
      <sz val="14"/>
      <name val="Century Gothic"/>
      <family val="2"/>
    </font>
    <font>
      <sz val="12"/>
      <name val="Century Gothic"/>
      <family val="2"/>
    </font>
    <font>
      <b/>
      <sz val="11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entury Gothic"/>
      <family val="2"/>
    </font>
    <font>
      <sz val="8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6"/>
      </patternFill>
    </fill>
    <fill>
      <patternFill patternType="solid">
        <fgColor rgb="FF616D3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4.9989318521683403E-2"/>
        <bgColor indexed="64"/>
      </patternFill>
    </fill>
  </fills>
  <borders count="5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ck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2" borderId="1" applyNumberFormat="0" applyAlignment="0" applyProtection="0"/>
    <xf numFmtId="0" fontId="2" fillId="3" borderId="0" applyNumberFormat="0" applyBorder="0" applyAlignment="0" applyProtection="0"/>
    <xf numFmtId="9" fontId="17" fillId="0" borderId="0" applyFont="0" applyFill="0" applyBorder="0" applyAlignment="0" applyProtection="0"/>
  </cellStyleXfs>
  <cellXfs count="347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/>
    <xf numFmtId="0" fontId="4" fillId="0" borderId="12" xfId="0" applyFont="1" applyBorder="1"/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4" fillId="0" borderId="22" xfId="0" applyFont="1" applyBorder="1"/>
    <xf numFmtId="0" fontId="12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166" fontId="0" fillId="0" borderId="14" xfId="0" applyNumberFormat="1" applyBorder="1"/>
    <xf numFmtId="10" fontId="0" fillId="0" borderId="14" xfId="0" applyNumberFormat="1" applyBorder="1"/>
    <xf numFmtId="0" fontId="4" fillId="0" borderId="4" xfId="0" applyFont="1" applyBorder="1"/>
    <xf numFmtId="0" fontId="4" fillId="0" borderId="5" xfId="0" applyFont="1" applyBorder="1"/>
    <xf numFmtId="0" fontId="4" fillId="0" borderId="27" xfId="0" applyFont="1" applyBorder="1"/>
    <xf numFmtId="0" fontId="4" fillId="0" borderId="28" xfId="0" applyFont="1" applyBorder="1"/>
    <xf numFmtId="0" fontId="4" fillId="0" borderId="29" xfId="0" applyFont="1" applyBorder="1" applyAlignment="1">
      <alignment horizontal="center"/>
    </xf>
    <xf numFmtId="164" fontId="4" fillId="0" borderId="30" xfId="0" applyNumberFormat="1" applyFont="1" applyBorder="1"/>
    <xf numFmtId="0" fontId="4" fillId="0" borderId="30" xfId="0" applyFont="1" applyBorder="1"/>
    <xf numFmtId="164" fontId="4" fillId="0" borderId="31" xfId="0" applyNumberFormat="1" applyFont="1" applyBorder="1"/>
    <xf numFmtId="0" fontId="4" fillId="0" borderId="21" xfId="0" applyFont="1" applyBorder="1"/>
    <xf numFmtId="0" fontId="4" fillId="0" borderId="32" xfId="0" applyFont="1" applyBorder="1"/>
    <xf numFmtId="164" fontId="4" fillId="0" borderId="2" xfId="0" applyNumberFormat="1" applyFont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13" fillId="2" borderId="16" xfId="1" applyFont="1" applyBorder="1"/>
    <xf numFmtId="164" fontId="13" fillId="2" borderId="17" xfId="1" applyNumberFormat="1" applyFont="1" applyBorder="1"/>
    <xf numFmtId="0" fontId="13" fillId="3" borderId="2" xfId="2" applyFont="1" applyBorder="1"/>
    <xf numFmtId="0" fontId="13" fillId="3" borderId="2" xfId="2" applyFont="1" applyBorder="1" applyAlignment="1">
      <alignment horizontal="center"/>
    </xf>
    <xf numFmtId="0" fontId="4" fillId="0" borderId="33" xfId="0" applyFont="1" applyBorder="1"/>
    <xf numFmtId="9" fontId="4" fillId="0" borderId="22" xfId="0" applyNumberFormat="1" applyFont="1" applyBorder="1" applyAlignment="1">
      <alignment horizontal="center"/>
    </xf>
    <xf numFmtId="164" fontId="4" fillId="0" borderId="22" xfId="0" applyNumberFormat="1" applyFont="1" applyBorder="1"/>
    <xf numFmtId="9" fontId="4" fillId="0" borderId="22" xfId="0" applyNumberFormat="1" applyFont="1" applyBorder="1"/>
    <xf numFmtId="164" fontId="4" fillId="0" borderId="34" xfId="0" applyNumberFormat="1" applyFont="1" applyBorder="1"/>
    <xf numFmtId="0" fontId="4" fillId="0" borderId="35" xfId="0" applyFont="1" applyBorder="1" applyAlignment="1">
      <alignment horizontal="center"/>
    </xf>
    <xf numFmtId="164" fontId="0" fillId="0" borderId="36" xfId="0" applyNumberFormat="1" applyBorder="1"/>
    <xf numFmtId="0" fontId="4" fillId="0" borderId="37" xfId="0" applyFont="1" applyBorder="1"/>
    <xf numFmtId="0" fontId="4" fillId="0" borderId="38" xfId="0" applyFont="1" applyBorder="1"/>
    <xf numFmtId="9" fontId="4" fillId="0" borderId="38" xfId="0" applyNumberFormat="1" applyFont="1" applyBorder="1" applyAlignment="1">
      <alignment horizontal="center"/>
    </xf>
    <xf numFmtId="164" fontId="4" fillId="0" borderId="38" xfId="0" applyNumberFormat="1" applyFont="1" applyBorder="1"/>
    <xf numFmtId="9" fontId="4" fillId="0" borderId="38" xfId="0" applyNumberFormat="1" applyFont="1" applyBorder="1"/>
    <xf numFmtId="164" fontId="4" fillId="0" borderId="20" xfId="0" applyNumberFormat="1" applyFont="1" applyBorder="1"/>
    <xf numFmtId="0" fontId="4" fillId="0" borderId="39" xfId="0" applyFont="1" applyBorder="1" applyAlignment="1">
      <alignment horizontal="center"/>
    </xf>
    <xf numFmtId="164" fontId="0" fillId="0" borderId="40" xfId="0" applyNumberFormat="1" applyBorder="1"/>
    <xf numFmtId="0" fontId="4" fillId="0" borderId="41" xfId="0" applyFont="1" applyBorder="1"/>
    <xf numFmtId="9" fontId="4" fillId="0" borderId="30" xfId="0" applyNumberFormat="1" applyFont="1" applyBorder="1" applyAlignment="1">
      <alignment horizontal="center"/>
    </xf>
    <xf numFmtId="9" fontId="4" fillId="0" borderId="30" xfId="0" applyNumberFormat="1" applyFont="1" applyBorder="1"/>
    <xf numFmtId="0" fontId="4" fillId="0" borderId="42" xfId="0" applyFont="1" applyBorder="1" applyAlignment="1">
      <alignment horizontal="center"/>
    </xf>
    <xf numFmtId="164" fontId="0" fillId="0" borderId="25" xfId="0" applyNumberFormat="1" applyBorder="1"/>
    <xf numFmtId="0" fontId="4" fillId="0" borderId="31" xfId="0" applyFont="1" applyBorder="1"/>
    <xf numFmtId="164" fontId="3" fillId="0" borderId="2" xfId="0" applyNumberFormat="1" applyFont="1" applyBorder="1"/>
    <xf numFmtId="164" fontId="8" fillId="0" borderId="2" xfId="0" applyNumberFormat="1" applyFont="1" applyBorder="1"/>
    <xf numFmtId="164" fontId="13" fillId="3" borderId="13" xfId="2" applyNumberFormat="1" applyFont="1" applyBorder="1"/>
    <xf numFmtId="0" fontId="4" fillId="0" borderId="26" xfId="0" applyFont="1" applyBorder="1"/>
    <xf numFmtId="0" fontId="4" fillId="0" borderId="43" xfId="0" applyFont="1" applyBorder="1"/>
    <xf numFmtId="166" fontId="4" fillId="0" borderId="0" xfId="0" applyNumberFormat="1" applyFont="1"/>
    <xf numFmtId="0" fontId="4" fillId="0" borderId="15" xfId="0" applyFont="1" applyBorder="1" applyAlignment="1">
      <alignment horizontal="center"/>
    </xf>
    <xf numFmtId="0" fontId="10" fillId="0" borderId="23" xfId="0" applyFont="1" applyBorder="1" applyAlignment="1">
      <alignment horizontal="left"/>
    </xf>
    <xf numFmtId="0" fontId="6" fillId="7" borderId="12" xfId="0" applyFont="1" applyFill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 vertic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167" fontId="4" fillId="0" borderId="0" xfId="0" applyNumberFormat="1" applyFont="1"/>
    <xf numFmtId="0" fontId="14" fillId="0" borderId="37" xfId="0" applyFont="1" applyBorder="1"/>
    <xf numFmtId="0" fontId="14" fillId="0" borderId="41" xfId="0" applyFont="1" applyBorder="1"/>
    <xf numFmtId="0" fontId="14" fillId="0" borderId="33" xfId="0" applyFont="1" applyBorder="1"/>
    <xf numFmtId="167" fontId="0" fillId="0" borderId="14" xfId="0" applyNumberFormat="1" applyBorder="1"/>
    <xf numFmtId="0" fontId="15" fillId="0" borderId="0" xfId="0" applyFont="1"/>
    <xf numFmtId="0" fontId="16" fillId="0" borderId="0" xfId="0" applyFont="1"/>
    <xf numFmtId="0" fontId="4" fillId="6" borderId="12" xfId="0" applyFont="1" applyFill="1" applyBorder="1"/>
    <xf numFmtId="0" fontId="16" fillId="0" borderId="15" xfId="0" applyFont="1" applyBorder="1" applyAlignment="1">
      <alignment horizontal="center"/>
    </xf>
    <xf numFmtId="0" fontId="5" fillId="0" borderId="0" xfId="0" applyFont="1" applyAlignment="1">
      <alignment vertical="center"/>
    </xf>
    <xf numFmtId="10" fontId="5" fillId="0" borderId="0" xfId="0" applyNumberFormat="1" applyFont="1" applyAlignment="1">
      <alignment vertical="center"/>
    </xf>
    <xf numFmtId="0" fontId="9" fillId="0" borderId="0" xfId="0" applyFont="1" applyAlignment="1">
      <alignment horizontal="center"/>
    </xf>
    <xf numFmtId="0" fontId="4" fillId="6" borderId="2" xfId="0" applyFont="1" applyFill="1" applyBorder="1" applyAlignment="1">
      <alignment horizontal="center" vertical="center"/>
    </xf>
    <xf numFmtId="0" fontId="4" fillId="0" borderId="45" xfId="0" applyFont="1" applyBorder="1"/>
    <xf numFmtId="0" fontId="4" fillId="8" borderId="0" xfId="0" applyFont="1" applyFill="1"/>
    <xf numFmtId="164" fontId="4" fillId="0" borderId="0" xfId="0" applyNumberFormat="1" applyFont="1" applyAlignment="1">
      <alignment horizontal="center" vertical="center"/>
    </xf>
    <xf numFmtId="164" fontId="16" fillId="0" borderId="0" xfId="0" applyNumberFormat="1" applyFont="1"/>
    <xf numFmtId="0" fontId="4" fillId="0" borderId="36" xfId="0" applyFont="1" applyBorder="1"/>
    <xf numFmtId="164" fontId="8" fillId="6" borderId="25" xfId="0" applyNumberFormat="1" applyFont="1" applyFill="1" applyBorder="1"/>
    <xf numFmtId="164" fontId="4" fillId="0" borderId="4" xfId="0" applyNumberFormat="1" applyFont="1" applyBorder="1"/>
    <xf numFmtId="0" fontId="4" fillId="0" borderId="3" xfId="0" applyFont="1" applyBorder="1"/>
    <xf numFmtId="164" fontId="4" fillId="0" borderId="9" xfId="0" applyNumberFormat="1" applyFont="1" applyBorder="1"/>
    <xf numFmtId="164" fontId="4" fillId="0" borderId="10" xfId="0" applyNumberFormat="1" applyFont="1" applyBorder="1"/>
    <xf numFmtId="164" fontId="4" fillId="0" borderId="7" xfId="0" applyNumberFormat="1" applyFont="1" applyBorder="1"/>
    <xf numFmtId="0" fontId="4" fillId="0" borderId="6" xfId="0" applyFont="1" applyBorder="1"/>
    <xf numFmtId="0" fontId="4" fillId="0" borderId="8" xfId="0" applyFont="1" applyBorder="1"/>
    <xf numFmtId="0" fontId="4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0" fillId="0" borderId="4" xfId="0" applyBorder="1"/>
    <xf numFmtId="164" fontId="0" fillId="0" borderId="0" xfId="0" applyNumberFormat="1"/>
    <xf numFmtId="0" fontId="0" fillId="9" borderId="12" xfId="0" applyFill="1" applyBorder="1"/>
    <xf numFmtId="10" fontId="4" fillId="0" borderId="0" xfId="3" applyNumberFormat="1" applyFont="1"/>
    <xf numFmtId="0" fontId="0" fillId="0" borderId="0" xfId="0" applyAlignment="1">
      <alignment horizontal="center"/>
    </xf>
    <xf numFmtId="164" fontId="8" fillId="0" borderId="2" xfId="0" applyNumberFormat="1" applyFont="1" applyBorder="1" applyAlignment="1">
      <alignment horizontal="center"/>
    </xf>
    <xf numFmtId="0" fontId="5" fillId="0" borderId="50" xfId="0" applyFont="1" applyBorder="1" applyAlignment="1">
      <alignment vertical="top"/>
    </xf>
    <xf numFmtId="0" fontId="4" fillId="0" borderId="11" xfId="0" applyFont="1" applyBorder="1" applyAlignment="1">
      <alignment horizontal="left"/>
    </xf>
    <xf numFmtId="0" fontId="4" fillId="0" borderId="50" xfId="0" applyFont="1" applyBorder="1" applyAlignment="1">
      <alignment horizontal="center" vertical="center"/>
    </xf>
    <xf numFmtId="0" fontId="4" fillId="0" borderId="50" xfId="0" applyFont="1" applyBorder="1"/>
    <xf numFmtId="0" fontId="8" fillId="9" borderId="11" xfId="0" applyFont="1" applyFill="1" applyBorder="1"/>
    <xf numFmtId="9" fontId="8" fillId="9" borderId="11" xfId="3" applyFont="1" applyFill="1" applyBorder="1" applyAlignment="1">
      <alignment horizontal="left"/>
    </xf>
    <xf numFmtId="9" fontId="8" fillId="9" borderId="11" xfId="3" applyFont="1" applyFill="1" applyBorder="1" applyAlignment="1">
      <alignment horizontal="center"/>
    </xf>
    <xf numFmtId="0" fontId="4" fillId="9" borderId="13" xfId="0" applyFont="1" applyFill="1" applyBorder="1" applyAlignment="1">
      <alignment horizontal="center"/>
    </xf>
    <xf numFmtId="9" fontId="4" fillId="9" borderId="50" xfId="3" applyFont="1" applyFill="1" applyBorder="1" applyAlignment="1">
      <alignment horizontal="center"/>
    </xf>
    <xf numFmtId="0" fontId="8" fillId="9" borderId="50" xfId="0" applyFont="1" applyFill="1" applyBorder="1" applyAlignment="1">
      <alignment horizontal="center"/>
    </xf>
    <xf numFmtId="0" fontId="4" fillId="9" borderId="50" xfId="0" applyFont="1" applyFill="1" applyBorder="1" applyAlignment="1">
      <alignment horizontal="center"/>
    </xf>
    <xf numFmtId="164" fontId="8" fillId="4" borderId="13" xfId="0" applyNumberFormat="1" applyFont="1" applyFill="1" applyBorder="1" applyAlignment="1">
      <alignment horizontal="center" vertical="center"/>
    </xf>
    <xf numFmtId="164" fontId="8" fillId="4" borderId="0" xfId="0" applyNumberFormat="1" applyFont="1" applyFill="1" applyAlignment="1">
      <alignment horizontal="center"/>
    </xf>
    <xf numFmtId="164" fontId="8" fillId="4" borderId="13" xfId="0" applyNumberFormat="1" applyFont="1" applyFill="1" applyBorder="1" applyAlignment="1">
      <alignment horizontal="center"/>
    </xf>
    <xf numFmtId="164" fontId="8" fillId="10" borderId="0" xfId="0" applyNumberFormat="1" applyFont="1" applyFill="1" applyAlignment="1">
      <alignment horizontal="center"/>
    </xf>
    <xf numFmtId="9" fontId="4" fillId="0" borderId="4" xfId="0" applyNumberFormat="1" applyFont="1" applyBorder="1" applyAlignment="1">
      <alignment horizontal="center"/>
    </xf>
    <xf numFmtId="164" fontId="4" fillId="0" borderId="5" xfId="0" applyNumberFormat="1" applyFont="1" applyBorder="1"/>
    <xf numFmtId="9" fontId="4" fillId="0" borderId="9" xfId="0" applyNumberFormat="1" applyFont="1" applyBorder="1" applyAlignment="1">
      <alignment horizontal="center"/>
    </xf>
    <xf numFmtId="0" fontId="21" fillId="9" borderId="2" xfId="2" applyFont="1" applyFill="1" applyBorder="1" applyAlignment="1">
      <alignment horizontal="center"/>
    </xf>
    <xf numFmtId="0" fontId="3" fillId="0" borderId="0" xfId="0" applyFont="1"/>
    <xf numFmtId="164" fontId="19" fillId="4" borderId="13" xfId="2" applyNumberFormat="1" applyFont="1" applyFill="1" applyBorder="1"/>
    <xf numFmtId="168" fontId="0" fillId="0" borderId="0" xfId="3" applyNumberFormat="1" applyFont="1"/>
    <xf numFmtId="9" fontId="0" fillId="0" borderId="0" xfId="0" applyNumberFormat="1"/>
    <xf numFmtId="164" fontId="9" fillId="0" borderId="13" xfId="0" applyNumberFormat="1" applyFont="1" applyBorder="1"/>
    <xf numFmtId="164" fontId="4" fillId="0" borderId="12" xfId="0" applyNumberFormat="1" applyFont="1" applyBorder="1"/>
    <xf numFmtId="164" fontId="4" fillId="0" borderId="13" xfId="0" applyNumberFormat="1" applyFont="1" applyBorder="1"/>
    <xf numFmtId="164" fontId="4" fillId="0" borderId="51" xfId="0" applyNumberFormat="1" applyFont="1" applyBorder="1"/>
    <xf numFmtId="0" fontId="0" fillId="0" borderId="6" xfId="0" applyBorder="1"/>
    <xf numFmtId="0" fontId="0" fillId="0" borderId="9" xfId="0" applyBorder="1"/>
    <xf numFmtId="164" fontId="3" fillId="0" borderId="0" xfId="0" applyNumberFormat="1" applyFont="1"/>
    <xf numFmtId="164" fontId="4" fillId="0" borderId="0" xfId="0" applyNumberFormat="1" applyFont="1" applyAlignment="1">
      <alignment horizontal="right"/>
    </xf>
    <xf numFmtId="0" fontId="5" fillId="0" borderId="50" xfId="0" applyFont="1" applyBorder="1" applyAlignment="1">
      <alignment horizontal="center"/>
    </xf>
    <xf numFmtId="0" fontId="4" fillId="0" borderId="50" xfId="0" applyFont="1" applyBorder="1" applyAlignment="1">
      <alignment horizontal="center"/>
    </xf>
    <xf numFmtId="0" fontId="8" fillId="0" borderId="12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top"/>
    </xf>
    <xf numFmtId="0" fontId="4" fillId="6" borderId="12" xfId="0" applyFont="1" applyFill="1" applyBorder="1" applyAlignment="1">
      <alignment horizontal="center"/>
    </xf>
    <xf numFmtId="0" fontId="4" fillId="6" borderId="13" xfId="0" applyFont="1" applyFill="1" applyBorder="1" applyAlignment="1">
      <alignment horizontal="center"/>
    </xf>
    <xf numFmtId="0" fontId="21" fillId="9" borderId="11" xfId="2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4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46" xfId="0" applyFont="1" applyBorder="1" applyAlignment="1">
      <alignment horizontal="left" vertical="center"/>
    </xf>
    <xf numFmtId="0" fontId="6" fillId="7" borderId="13" xfId="0" applyFont="1" applyFill="1" applyBorder="1" applyAlignment="1">
      <alignment horizontal="center"/>
    </xf>
    <xf numFmtId="0" fontId="4" fillId="6" borderId="11" xfId="0" applyFont="1" applyFill="1" applyBorder="1" applyAlignment="1">
      <alignment horizontal="left"/>
    </xf>
    <xf numFmtId="164" fontId="4" fillId="0" borderId="15" xfId="0" applyNumberFormat="1" applyFont="1" applyBorder="1" applyAlignment="1">
      <alignment horizontal="center" vertical="center"/>
    </xf>
    <xf numFmtId="164" fontId="4" fillId="0" borderId="4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right"/>
    </xf>
    <xf numFmtId="0" fontId="9" fillId="0" borderId="7" xfId="0" applyFont="1" applyBorder="1" applyAlignment="1">
      <alignment horizontal="right"/>
    </xf>
    <xf numFmtId="0" fontId="4" fillId="0" borderId="45" xfId="0" applyFont="1" applyBorder="1" applyAlignment="1">
      <alignment horizontal="left" vertical="center"/>
    </xf>
    <xf numFmtId="0" fontId="4" fillId="0" borderId="47" xfId="0" applyFont="1" applyBorder="1" applyAlignment="1">
      <alignment horizontal="left" vertical="center"/>
    </xf>
    <xf numFmtId="0" fontId="4" fillId="0" borderId="48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4" fillId="0" borderId="49" xfId="0" applyFont="1" applyBorder="1" applyAlignment="1">
      <alignment horizontal="left" vertical="center"/>
    </xf>
    <xf numFmtId="164" fontId="4" fillId="0" borderId="47" xfId="0" applyNumberFormat="1" applyFont="1" applyBorder="1" applyAlignment="1">
      <alignment horizontal="center" vertical="center"/>
    </xf>
    <xf numFmtId="164" fontId="9" fillId="4" borderId="23" xfId="0" applyNumberFormat="1" applyFont="1" applyFill="1" applyBorder="1" applyAlignment="1">
      <alignment horizontal="center" vertical="center"/>
    </xf>
    <xf numFmtId="164" fontId="9" fillId="4" borderId="49" xfId="0" applyNumberFormat="1" applyFont="1" applyFill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20" fillId="9" borderId="12" xfId="2" applyFont="1" applyFill="1" applyBorder="1" applyAlignment="1">
      <alignment horizontal="center"/>
    </xf>
    <xf numFmtId="0" fontId="20" fillId="9" borderId="13" xfId="2" applyFont="1" applyFill="1" applyBorder="1" applyAlignment="1">
      <alignment horizontal="center"/>
    </xf>
    <xf numFmtId="0" fontId="9" fillId="7" borderId="4" xfId="0" applyFont="1" applyFill="1" applyBorder="1" applyAlignment="1">
      <alignment horizontal="center"/>
    </xf>
    <xf numFmtId="0" fontId="9" fillId="7" borderId="5" xfId="0" applyFont="1" applyFill="1" applyBorder="1" applyAlignment="1">
      <alignment horizontal="center"/>
    </xf>
    <xf numFmtId="0" fontId="8" fillId="6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2" fontId="8" fillId="4" borderId="13" xfId="0" applyNumberFormat="1" applyFont="1" applyFill="1" applyBorder="1" applyAlignment="1">
      <alignment horizontal="center" vertical="center"/>
    </xf>
    <xf numFmtId="0" fontId="0" fillId="0" borderId="3" xfId="0" applyBorder="1"/>
    <xf numFmtId="0" fontId="0" fillId="0" borderId="8" xfId="0" applyBorder="1"/>
    <xf numFmtId="44" fontId="0" fillId="0" borderId="5" xfId="0" applyNumberFormat="1" applyBorder="1"/>
    <xf numFmtId="44" fontId="0" fillId="0" borderId="7" xfId="0" applyNumberFormat="1" applyBorder="1"/>
    <xf numFmtId="44" fontId="23" fillId="0" borderId="2" xfId="0" applyNumberFormat="1" applyFont="1" applyBorder="1"/>
    <xf numFmtId="44" fontId="0" fillId="0" borderId="4" xfId="0" applyNumberFormat="1" applyBorder="1"/>
    <xf numFmtId="44" fontId="0" fillId="0" borderId="0" xfId="0" applyNumberFormat="1"/>
    <xf numFmtId="164" fontId="8" fillId="0" borderId="55" xfId="0" applyNumberFormat="1" applyFont="1" applyBorder="1"/>
    <xf numFmtId="0" fontId="24" fillId="0" borderId="0" xfId="0" applyFont="1" applyAlignment="1">
      <alignment horizontal="center" vertical="center"/>
    </xf>
    <xf numFmtId="0" fontId="3" fillId="0" borderId="14" xfId="0" applyFont="1" applyBorder="1"/>
    <xf numFmtId="9" fontId="3" fillId="0" borderId="14" xfId="0" applyNumberFormat="1" applyFont="1" applyBorder="1"/>
    <xf numFmtId="164" fontId="3" fillId="0" borderId="14" xfId="0" applyNumberFormat="1" applyFont="1" applyBorder="1"/>
    <xf numFmtId="0" fontId="3" fillId="0" borderId="54" xfId="0" applyFont="1" applyBorder="1"/>
    <xf numFmtId="9" fontId="3" fillId="0" borderId="54" xfId="0" applyNumberFormat="1" applyFont="1" applyBorder="1"/>
    <xf numFmtId="164" fontId="3" fillId="0" borderId="54" xfId="0" applyNumberFormat="1" applyFont="1" applyBorder="1"/>
    <xf numFmtId="0" fontId="22" fillId="0" borderId="52" xfId="0" applyFont="1" applyBorder="1" applyAlignment="1">
      <alignment horizontal="center" vertical="center"/>
    </xf>
    <xf numFmtId="9" fontId="22" fillId="0" borderId="50" xfId="0" applyNumberFormat="1" applyFont="1" applyBorder="1" applyAlignment="1">
      <alignment horizontal="center" vertical="center"/>
    </xf>
    <xf numFmtId="164" fontId="14" fillId="0" borderId="0" xfId="0" applyNumberFormat="1" applyFont="1" applyAlignment="1">
      <alignment horizontal="center"/>
    </xf>
    <xf numFmtId="166" fontId="0" fillId="0" borderId="14" xfId="0" applyNumberFormat="1" applyBorder="1" applyAlignment="1">
      <alignment horizontal="center"/>
    </xf>
    <xf numFmtId="166" fontId="0" fillId="0" borderId="0" xfId="0" applyNumberFormat="1"/>
    <xf numFmtId="166" fontId="0" fillId="0" borderId="0" xfId="0" applyNumberFormat="1" applyAlignment="1">
      <alignment horizontal="center"/>
    </xf>
    <xf numFmtId="10" fontId="0" fillId="0" borderId="0" xfId="0" applyNumberFormat="1"/>
    <xf numFmtId="0" fontId="4" fillId="0" borderId="44" xfId="0" applyFont="1" applyBorder="1"/>
    <xf numFmtId="164" fontId="4" fillId="0" borderId="15" xfId="0" applyNumberFormat="1" applyFont="1" applyBorder="1"/>
    <xf numFmtId="10" fontId="4" fillId="0" borderId="46" xfId="3" applyNumberFormat="1" applyFont="1" applyBorder="1"/>
    <xf numFmtId="0" fontId="4" fillId="0" borderId="47" xfId="0" applyFont="1" applyBorder="1"/>
    <xf numFmtId="0" fontId="4" fillId="0" borderId="48" xfId="0" applyFont="1" applyBorder="1"/>
    <xf numFmtId="0" fontId="4" fillId="0" borderId="23" xfId="0" applyFont="1" applyBorder="1"/>
    <xf numFmtId="164" fontId="4" fillId="0" borderId="49" xfId="0" applyNumberFormat="1" applyFont="1" applyBorder="1"/>
    <xf numFmtId="0" fontId="4" fillId="0" borderId="0" xfId="0" applyFont="1" applyAlignment="1">
      <alignment horizontal="left"/>
    </xf>
    <xf numFmtId="2" fontId="16" fillId="0" borderId="0" xfId="0" applyNumberFormat="1" applyFont="1" applyAlignment="1">
      <alignment horizontal="right"/>
    </xf>
    <xf numFmtId="44" fontId="4" fillId="0" borderId="0" xfId="0" applyNumberFormat="1" applyFont="1" applyAlignment="1">
      <alignment horizontal="center" vertical="center"/>
    </xf>
    <xf numFmtId="44" fontId="4" fillId="0" borderId="0" xfId="0" applyNumberFormat="1" applyFont="1" applyAlignment="1">
      <alignment horizontal="center"/>
    </xf>
    <xf numFmtId="44" fontId="9" fillId="4" borderId="13" xfId="0" applyNumberFormat="1" applyFont="1" applyFill="1" applyBorder="1" applyAlignment="1">
      <alignment horizontal="center"/>
    </xf>
    <xf numFmtId="44" fontId="4" fillId="6" borderId="13" xfId="0" applyNumberFormat="1" applyFont="1" applyFill="1" applyBorder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12" fillId="0" borderId="53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4" fillId="6" borderId="18" xfId="0" applyFont="1" applyFill="1" applyBorder="1" applyAlignment="1">
      <alignment horizontal="center"/>
    </xf>
    <xf numFmtId="0" fontId="4" fillId="6" borderId="19" xfId="0" applyFont="1" applyFill="1" applyBorder="1" applyAlignment="1">
      <alignment horizontal="center"/>
    </xf>
    <xf numFmtId="0" fontId="4" fillId="6" borderId="17" xfId="0" applyFont="1" applyFill="1" applyBorder="1" applyAlignment="1">
      <alignment horizontal="center"/>
    </xf>
    <xf numFmtId="0" fontId="9" fillId="7" borderId="3" xfId="0" applyFont="1" applyFill="1" applyBorder="1" applyAlignment="1">
      <alignment horizontal="left"/>
    </xf>
    <xf numFmtId="0" fontId="9" fillId="6" borderId="11" xfId="0" applyFont="1" applyFill="1" applyBorder="1" applyAlignment="1">
      <alignment horizontal="left"/>
    </xf>
    <xf numFmtId="0" fontId="0" fillId="6" borderId="12" xfId="0" applyFill="1" applyBorder="1"/>
    <xf numFmtId="0" fontId="0" fillId="6" borderId="13" xfId="0" applyFill="1" applyBorder="1"/>
    <xf numFmtId="0" fontId="4" fillId="6" borderId="12" xfId="0" applyFont="1" applyFill="1" applyBorder="1" applyAlignment="1">
      <alignment horizontal="center" vertical="center"/>
    </xf>
    <xf numFmtId="0" fontId="16" fillId="6" borderId="12" xfId="0" applyFont="1" applyFill="1" applyBorder="1" applyAlignment="1">
      <alignment horizontal="center"/>
    </xf>
    <xf numFmtId="0" fontId="5" fillId="7" borderId="12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9" fontId="3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164" fontId="7" fillId="0" borderId="0" xfId="0" applyNumberFormat="1" applyFont="1" applyAlignment="1">
      <alignment vertical="top"/>
    </xf>
    <xf numFmtId="0" fontId="4" fillId="4" borderId="0" xfId="0" applyFont="1" applyFill="1"/>
    <xf numFmtId="0" fontId="3" fillId="0" borderId="0" xfId="0" applyFont="1" applyAlignment="1">
      <alignment vertical="top"/>
    </xf>
    <xf numFmtId="164" fontId="3" fillId="0" borderId="0" xfId="0" applyNumberFormat="1" applyFont="1" applyAlignment="1">
      <alignment vertical="center"/>
    </xf>
    <xf numFmtId="165" fontId="3" fillId="5" borderId="0" xfId="0" applyNumberFormat="1" applyFont="1" applyFill="1" applyAlignment="1">
      <alignment vertical="center"/>
    </xf>
    <xf numFmtId="164" fontId="3" fillId="0" borderId="4" xfId="0" applyNumberFormat="1" applyFont="1" applyBorder="1"/>
    <xf numFmtId="0" fontId="5" fillId="0" borderId="51" xfId="0" applyFont="1" applyBorder="1" applyAlignment="1">
      <alignment vertical="center"/>
    </xf>
    <xf numFmtId="0" fontId="6" fillId="7" borderId="11" xfId="0" applyFont="1" applyFill="1" applyBorder="1" applyAlignment="1">
      <alignment horizontal="left"/>
    </xf>
    <xf numFmtId="0" fontId="5" fillId="7" borderId="11" xfId="0" applyFont="1" applyFill="1" applyBorder="1" applyAlignment="1">
      <alignment horizontal="left"/>
    </xf>
    <xf numFmtId="0" fontId="20" fillId="9" borderId="11" xfId="2" applyFont="1" applyFill="1" applyBorder="1" applyAlignment="1">
      <alignment horizontal="left"/>
    </xf>
    <xf numFmtId="164" fontId="4" fillId="0" borderId="44" xfId="0" applyNumberFormat="1" applyFont="1" applyBorder="1" applyAlignment="1">
      <alignment horizontal="center" vertical="center"/>
    </xf>
    <xf numFmtId="164" fontId="4" fillId="0" borderId="45" xfId="0" applyNumberFormat="1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164" fontId="9" fillId="4" borderId="48" xfId="0" applyNumberFormat="1" applyFont="1" applyFill="1" applyBorder="1" applyAlignment="1">
      <alignment horizontal="center" vertical="center"/>
    </xf>
    <xf numFmtId="2" fontId="0" fillId="0" borderId="0" xfId="0" applyNumberFormat="1"/>
    <xf numFmtId="0" fontId="0" fillId="0" borderId="44" xfId="0" applyBorder="1"/>
    <xf numFmtId="44" fontId="0" fillId="0" borderId="15" xfId="0" applyNumberFormat="1" applyBorder="1"/>
    <xf numFmtId="0" fontId="0" fillId="0" borderId="45" xfId="0" applyBorder="1"/>
    <xf numFmtId="0" fontId="0" fillId="0" borderId="48" xfId="0" applyBorder="1"/>
    <xf numFmtId="44" fontId="0" fillId="0" borderId="23" xfId="0" applyNumberFormat="1" applyBorder="1"/>
    <xf numFmtId="0" fontId="0" fillId="9" borderId="53" xfId="0" applyFill="1" applyBorder="1"/>
    <xf numFmtId="0" fontId="0" fillId="9" borderId="56" xfId="0" applyFill="1" applyBorder="1"/>
    <xf numFmtId="0" fontId="0" fillId="9" borderId="24" xfId="0" applyFill="1" applyBorder="1"/>
    <xf numFmtId="0" fontId="0" fillId="9" borderId="56" xfId="0" applyFill="1" applyBorder="1" applyAlignment="1">
      <alignment horizontal="center"/>
    </xf>
    <xf numFmtId="0" fontId="0" fillId="9" borderId="14" xfId="0" applyFill="1" applyBorder="1" applyAlignment="1">
      <alignment horizontal="center"/>
    </xf>
    <xf numFmtId="0" fontId="0" fillId="0" borderId="54" xfId="0" applyBorder="1"/>
    <xf numFmtId="0" fontId="0" fillId="0" borderId="57" xfId="0" applyBorder="1"/>
    <xf numFmtId="0" fontId="0" fillId="0" borderId="58" xfId="0" applyBorder="1"/>
    <xf numFmtId="44" fontId="0" fillId="0" borderId="54" xfId="0" applyNumberFormat="1" applyBorder="1"/>
    <xf numFmtId="44" fontId="0" fillId="0" borderId="57" xfId="0" applyNumberFormat="1" applyBorder="1"/>
    <xf numFmtId="44" fontId="0" fillId="0" borderId="58" xfId="0" applyNumberFormat="1" applyBorder="1"/>
    <xf numFmtId="0" fontId="0" fillId="9" borderId="0" xfId="0" applyFill="1"/>
    <xf numFmtId="44" fontId="23" fillId="9" borderId="14" xfId="0" applyNumberFormat="1" applyFont="1" applyFill="1" applyBorder="1"/>
    <xf numFmtId="0" fontId="23" fillId="9" borderId="53" xfId="0" applyFont="1" applyFill="1" applyBorder="1"/>
    <xf numFmtId="0" fontId="23" fillId="9" borderId="14" xfId="0" applyFont="1" applyFill="1" applyBorder="1"/>
    <xf numFmtId="44" fontId="23" fillId="9" borderId="56" xfId="0" applyNumberFormat="1" applyFont="1" applyFill="1" applyBorder="1"/>
    <xf numFmtId="164" fontId="4" fillId="0" borderId="0" xfId="0" applyNumberFormat="1" applyFont="1" applyAlignment="1">
      <alignment horizontal="left" vertical="center" wrapText="1"/>
    </xf>
    <xf numFmtId="9" fontId="4" fillId="0" borderId="0" xfId="0" applyNumberFormat="1" applyFont="1" applyAlignment="1">
      <alignment horizontal="center"/>
    </xf>
    <xf numFmtId="169" fontId="0" fillId="0" borderId="0" xfId="0" applyNumberFormat="1"/>
    <xf numFmtId="0" fontId="4" fillId="0" borderId="56" xfId="0" applyFont="1" applyBorder="1"/>
    <xf numFmtId="44" fontId="4" fillId="0" borderId="24" xfId="0" applyNumberFormat="1" applyFont="1" applyBorder="1"/>
    <xf numFmtId="164" fontId="4" fillId="0" borderId="56" xfId="0" applyNumberFormat="1" applyFont="1" applyBorder="1"/>
    <xf numFmtId="0" fontId="4" fillId="0" borderId="24" xfId="0" applyFont="1" applyBorder="1" applyAlignment="1">
      <alignment horizontal="center"/>
    </xf>
    <xf numFmtId="44" fontId="4" fillId="0" borderId="0" xfId="0" applyNumberFormat="1" applyFont="1"/>
    <xf numFmtId="0" fontId="4" fillId="0" borderId="53" xfId="0" applyFont="1" applyBorder="1"/>
    <xf numFmtId="169" fontId="4" fillId="0" borderId="24" xfId="0" applyNumberFormat="1" applyFont="1" applyBorder="1" applyAlignment="1">
      <alignment horizontal="center"/>
    </xf>
    <xf numFmtId="170" fontId="4" fillId="0" borderId="56" xfId="0" applyNumberFormat="1" applyFont="1" applyBorder="1"/>
    <xf numFmtId="164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171" fontId="4" fillId="0" borderId="56" xfId="0" applyNumberFormat="1" applyFont="1" applyBorder="1" applyAlignment="1">
      <alignment horizontal="center"/>
    </xf>
    <xf numFmtId="2" fontId="4" fillId="6" borderId="2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wrapText="1"/>
    </xf>
    <xf numFmtId="0" fontId="4" fillId="6" borderId="11" xfId="0" applyFont="1" applyFill="1" applyBorder="1" applyAlignment="1">
      <alignment horizontal="left" vertical="center"/>
    </xf>
    <xf numFmtId="0" fontId="4" fillId="6" borderId="12" xfId="0" applyFont="1" applyFill="1" applyBorder="1" applyAlignment="1">
      <alignment horizontal="left" vertical="center"/>
    </xf>
    <xf numFmtId="172" fontId="4" fillId="0" borderId="56" xfId="0" applyNumberFormat="1" applyFont="1" applyBorder="1" applyAlignment="1">
      <alignment horizontal="center"/>
    </xf>
    <xf numFmtId="8" fontId="0" fillId="0" borderId="0" xfId="0" applyNumberFormat="1"/>
    <xf numFmtId="173" fontId="4" fillId="0" borderId="0" xfId="0" applyNumberFormat="1" applyFont="1" applyAlignment="1">
      <alignment horizontal="center"/>
    </xf>
    <xf numFmtId="44" fontId="4" fillId="0" borderId="44" xfId="0" applyNumberFormat="1" applyFont="1" applyBorder="1" applyAlignment="1">
      <alignment horizontal="left" vertical="top"/>
    </xf>
    <xf numFmtId="44" fontId="4" fillId="0" borderId="46" xfId="0" applyNumberFormat="1" applyFont="1" applyBorder="1"/>
    <xf numFmtId="44" fontId="4" fillId="0" borderId="49" xfId="0" applyNumberFormat="1" applyFont="1" applyBorder="1"/>
    <xf numFmtId="44" fontId="8" fillId="0" borderId="24" xfId="0" applyNumberFormat="1" applyFont="1" applyBorder="1"/>
    <xf numFmtId="44" fontId="4" fillId="0" borderId="48" xfId="0" applyNumberFormat="1" applyFont="1" applyBorder="1"/>
    <xf numFmtId="8" fontId="4" fillId="0" borderId="49" xfId="0" applyNumberFormat="1" applyFont="1" applyBorder="1"/>
    <xf numFmtId="44" fontId="4" fillId="0" borderId="48" xfId="0" applyNumberFormat="1" applyFont="1" applyBorder="1" applyAlignment="1">
      <alignment horizontal="left" vertical="top"/>
    </xf>
    <xf numFmtId="44" fontId="8" fillId="0" borderId="49" xfId="0" applyNumberFormat="1" applyFont="1" applyBorder="1"/>
    <xf numFmtId="44" fontId="4" fillId="0" borderId="53" xfId="0" applyNumberFormat="1" applyFont="1" applyBorder="1" applyAlignment="1">
      <alignment horizontal="left" vertical="top"/>
    </xf>
    <xf numFmtId="164" fontId="4" fillId="0" borderId="0" xfId="0" applyNumberFormat="1" applyFont="1" applyAlignment="1">
      <alignment horizontal="left"/>
    </xf>
    <xf numFmtId="44" fontId="4" fillId="0" borderId="47" xfId="0" applyNumberFormat="1" applyFont="1" applyBorder="1" applyAlignment="1">
      <alignment horizontal="center"/>
    </xf>
    <xf numFmtId="44" fontId="4" fillId="0" borderId="49" xfId="0" applyNumberFormat="1" applyFont="1" applyBorder="1" applyAlignment="1">
      <alignment horizontal="center"/>
    </xf>
    <xf numFmtId="0" fontId="5" fillId="6" borderId="11" xfId="0" applyFont="1" applyFill="1" applyBorder="1" applyAlignment="1">
      <alignment horizontal="left"/>
    </xf>
    <xf numFmtId="44" fontId="8" fillId="6" borderId="2" xfId="0" applyNumberFormat="1" applyFont="1" applyFill="1" applyBorder="1" applyAlignment="1">
      <alignment horizontal="center"/>
    </xf>
    <xf numFmtId="0" fontId="8" fillId="6" borderId="0" xfId="0" applyFont="1" applyFill="1" applyAlignment="1">
      <alignment horizontal="center"/>
    </xf>
    <xf numFmtId="0" fontId="4" fillId="6" borderId="0" xfId="0" applyFont="1" applyFill="1"/>
    <xf numFmtId="0" fontId="4" fillId="6" borderId="0" xfId="0" applyFont="1" applyFill="1" applyAlignment="1">
      <alignment horizontal="center"/>
    </xf>
    <xf numFmtId="0" fontId="4" fillId="6" borderId="0" xfId="0" applyFont="1" applyFill="1" applyAlignment="1">
      <alignment horizontal="center" vertical="center"/>
    </xf>
    <xf numFmtId="44" fontId="4" fillId="6" borderId="0" xfId="0" applyNumberFormat="1" applyFont="1" applyFill="1" applyAlignment="1">
      <alignment horizontal="center"/>
    </xf>
    <xf numFmtId="0" fontId="4" fillId="6" borderId="0" xfId="0" applyFont="1" applyFill="1" applyAlignment="1">
      <alignment horizontal="left" vertical="center"/>
    </xf>
    <xf numFmtId="164" fontId="22" fillId="8" borderId="0" xfId="0" applyNumberFormat="1" applyFont="1" applyFill="1" applyAlignment="1">
      <alignment horizontal="center"/>
    </xf>
    <xf numFmtId="0" fontId="7" fillId="0" borderId="8" xfId="0" applyFont="1" applyBorder="1" applyAlignment="1">
      <alignment horizontal="center" vertical="top"/>
    </xf>
    <xf numFmtId="0" fontId="7" fillId="0" borderId="9" xfId="0" applyFont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164" fontId="22" fillId="8" borderId="4" xfId="0" applyNumberFormat="1" applyFont="1" applyFill="1" applyBorder="1" applyAlignment="1">
      <alignment horizontal="center"/>
    </xf>
    <xf numFmtId="0" fontId="5" fillId="0" borderId="50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21" fillId="9" borderId="11" xfId="2" applyFont="1" applyFill="1" applyBorder="1" applyAlignment="1">
      <alignment horizontal="center"/>
    </xf>
    <xf numFmtId="0" fontId="21" fillId="9" borderId="12" xfId="2" applyFont="1" applyFill="1" applyBorder="1" applyAlignment="1">
      <alignment horizontal="center"/>
    </xf>
    <xf numFmtId="0" fontId="21" fillId="9" borderId="13" xfId="2" applyFont="1" applyFill="1" applyBorder="1" applyAlignment="1">
      <alignment horizontal="center"/>
    </xf>
    <xf numFmtId="0" fontId="18" fillId="9" borderId="11" xfId="2" applyFont="1" applyFill="1" applyBorder="1" applyAlignment="1">
      <alignment horizontal="center"/>
    </xf>
    <xf numFmtId="0" fontId="18" fillId="9" borderId="12" xfId="2" applyFont="1" applyFill="1" applyBorder="1" applyAlignment="1">
      <alignment horizontal="center"/>
    </xf>
    <xf numFmtId="0" fontId="18" fillId="9" borderId="13" xfId="2" applyFont="1" applyFill="1" applyBorder="1" applyAlignment="1">
      <alignment horizontal="center"/>
    </xf>
    <xf numFmtId="0" fontId="0" fillId="0" borderId="0" xfId="0"/>
    <xf numFmtId="0" fontId="4" fillId="0" borderId="15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56" xfId="0" applyFont="1" applyBorder="1" applyAlignment="1">
      <alignment horizontal="center"/>
    </xf>
    <xf numFmtId="164" fontId="19" fillId="4" borderId="11" xfId="1" applyNumberFormat="1" applyFont="1" applyFill="1" applyBorder="1" applyAlignment="1">
      <alignment horizontal="center" vertical="center"/>
    </xf>
    <xf numFmtId="164" fontId="19" fillId="4" borderId="12" xfId="1" applyNumberFormat="1" applyFont="1" applyFill="1" applyBorder="1" applyAlignment="1">
      <alignment horizontal="center" vertical="center"/>
    </xf>
    <xf numFmtId="164" fontId="19" fillId="4" borderId="13" xfId="1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4" fillId="0" borderId="53" xfId="0" applyFont="1" applyBorder="1" applyAlignment="1">
      <alignment horizontal="center"/>
    </xf>
    <xf numFmtId="164" fontId="4" fillId="0" borderId="53" xfId="0" applyNumberFormat="1" applyFont="1" applyBorder="1" applyAlignment="1">
      <alignment horizontal="center"/>
    </xf>
    <xf numFmtId="164" fontId="4" fillId="0" borderId="56" xfId="0" applyNumberFormat="1" applyFont="1" applyBorder="1" applyAlignment="1">
      <alignment horizontal="center"/>
    </xf>
    <xf numFmtId="0" fontId="4" fillId="6" borderId="11" xfId="0" applyFont="1" applyFill="1" applyBorder="1" applyAlignment="1">
      <alignment horizontal="left"/>
    </xf>
    <xf numFmtId="0" fontId="4" fillId="6" borderId="12" xfId="0" applyFont="1" applyFill="1" applyBorder="1" applyAlignment="1">
      <alignment horizontal="left"/>
    </xf>
    <xf numFmtId="0" fontId="4" fillId="6" borderId="13" xfId="0" applyFont="1" applyFill="1" applyBorder="1" applyAlignment="1">
      <alignment horizontal="left"/>
    </xf>
    <xf numFmtId="0" fontId="4" fillId="6" borderId="11" xfId="0" applyFont="1" applyFill="1" applyBorder="1" applyAlignment="1">
      <alignment horizontal="left" vertical="center"/>
    </xf>
    <xf numFmtId="0" fontId="4" fillId="6" borderId="12" xfId="0" applyFont="1" applyFill="1" applyBorder="1" applyAlignment="1">
      <alignment horizontal="left" vertical="center"/>
    </xf>
    <xf numFmtId="0" fontId="4" fillId="6" borderId="13" xfId="0" applyFont="1" applyFill="1" applyBorder="1" applyAlignment="1">
      <alignment horizontal="left" vertical="center"/>
    </xf>
    <xf numFmtId="0" fontId="3" fillId="0" borderId="0" xfId="0" applyFont="1" applyAlignment="1">
      <alignment horizontal="center" wrapText="1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9" fillId="7" borderId="3" xfId="0" applyFont="1" applyFill="1" applyBorder="1" applyAlignment="1">
      <alignment horizontal="left"/>
    </xf>
    <xf numFmtId="0" fontId="9" fillId="7" borderId="4" xfId="0" applyFont="1" applyFill="1" applyBorder="1" applyAlignment="1">
      <alignment horizontal="left"/>
    </xf>
    <xf numFmtId="0" fontId="9" fillId="7" borderId="5" xfId="0" applyFont="1" applyFill="1" applyBorder="1" applyAlignment="1">
      <alignment horizontal="left"/>
    </xf>
    <xf numFmtId="0" fontId="4" fillId="0" borderId="44" xfId="0" applyFont="1" applyBorder="1" applyAlignment="1">
      <alignment horizontal="center"/>
    </xf>
    <xf numFmtId="0" fontId="8" fillId="6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44" fontId="8" fillId="11" borderId="53" xfId="0" applyNumberFormat="1" applyFont="1" applyFill="1" applyBorder="1" applyAlignment="1">
      <alignment horizontal="center" vertical="top"/>
    </xf>
    <xf numFmtId="44" fontId="8" fillId="11" borderId="24" xfId="0" applyNumberFormat="1" applyFont="1" applyFill="1" applyBorder="1" applyAlignment="1">
      <alignment horizontal="center" vertical="top"/>
    </xf>
    <xf numFmtId="0" fontId="4" fillId="11" borderId="53" xfId="0" applyFont="1" applyFill="1" applyBorder="1" applyAlignment="1">
      <alignment horizontal="center"/>
    </xf>
    <xf numFmtId="0" fontId="4" fillId="11" borderId="24" xfId="0" applyFont="1" applyFill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13" fillId="3" borderId="11" xfId="2" applyFont="1" applyBorder="1" applyAlignment="1">
      <alignment horizontal="center"/>
    </xf>
    <xf numFmtId="0" fontId="13" fillId="3" borderId="13" xfId="2" applyFont="1" applyBorder="1" applyAlignment="1">
      <alignment horizontal="center"/>
    </xf>
    <xf numFmtId="0" fontId="10" fillId="0" borderId="23" xfId="0" applyFont="1" applyBorder="1" applyAlignment="1">
      <alignment horizontal="left"/>
    </xf>
    <xf numFmtId="0" fontId="12" fillId="0" borderId="14" xfId="0" applyFont="1" applyBorder="1" applyAlignment="1">
      <alignment horizontal="center" vertical="center"/>
    </xf>
  </cellXfs>
  <cellStyles count="4">
    <cellStyle name="Accent3" xfId="2" builtinId="37"/>
    <cellStyle name="Check Cell" xfId="1" builtinId="23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616D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361950</xdr:colOff>
      <xdr:row>0</xdr:row>
      <xdr:rowOff>135671</xdr:rowOff>
    </xdr:from>
    <xdr:ext cx="3081617" cy="1815347"/>
    <xdr:pic>
      <xdr:nvPicPr>
        <xdr:cNvPr id="2" name="Picture 1">
          <a:extLst>
            <a:ext uri="{FF2B5EF4-FFF2-40B4-BE49-F238E27FC236}">
              <a16:creationId xmlns:a16="http://schemas.microsoft.com/office/drawing/2014/main" id="{832DA34B-01A6-457A-BCEC-DD32526872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135671"/>
          <a:ext cx="3081617" cy="1815347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212913</xdr:colOff>
      <xdr:row>0</xdr:row>
      <xdr:rowOff>135671</xdr:rowOff>
    </xdr:from>
    <xdr:ext cx="3081617" cy="1815347"/>
    <xdr:pic>
      <xdr:nvPicPr>
        <xdr:cNvPr id="3" name="Picture 2">
          <a:extLst>
            <a:ext uri="{FF2B5EF4-FFF2-40B4-BE49-F238E27FC236}">
              <a16:creationId xmlns:a16="http://schemas.microsoft.com/office/drawing/2014/main" id="{71D6F4F1-1379-4FCA-8279-8062CE4C72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4678" y="135671"/>
          <a:ext cx="3081617" cy="1815347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212913</xdr:colOff>
      <xdr:row>0</xdr:row>
      <xdr:rowOff>135671</xdr:rowOff>
    </xdr:from>
    <xdr:ext cx="3081617" cy="1815347"/>
    <xdr:pic>
      <xdr:nvPicPr>
        <xdr:cNvPr id="2" name="Picture 1">
          <a:extLst>
            <a:ext uri="{FF2B5EF4-FFF2-40B4-BE49-F238E27FC236}">
              <a16:creationId xmlns:a16="http://schemas.microsoft.com/office/drawing/2014/main" id="{BB778C03-8435-4838-811D-F07F2F95B8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80038" y="135671"/>
          <a:ext cx="3081617" cy="181534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402AA-EDF1-4C76-85BB-23F0CB9A685A}">
  <dimension ref="A1:L43"/>
  <sheetViews>
    <sheetView topLeftCell="A4" workbookViewId="0">
      <selection activeCell="G21" sqref="G21"/>
    </sheetView>
  </sheetViews>
  <sheetFormatPr defaultRowHeight="17.25" x14ac:dyDescent="0.3"/>
  <cols>
    <col min="1" max="1" width="5.5703125" style="1" customWidth="1"/>
    <col min="2" max="2" width="23.42578125" style="1" customWidth="1"/>
    <col min="3" max="3" width="17.85546875" style="1" customWidth="1"/>
    <col min="4" max="4" width="19.42578125" style="1" customWidth="1"/>
    <col min="5" max="5" width="14" style="1" bestFit="1" customWidth="1"/>
    <col min="6" max="6" width="21.85546875" style="1" customWidth="1"/>
    <col min="7" max="7" width="21.5703125" style="1" customWidth="1"/>
    <col min="8" max="8" width="12.28515625" style="1" customWidth="1"/>
    <col min="9" max="9" width="16.85546875" style="1" bestFit="1" customWidth="1"/>
    <col min="10" max="10" width="9.140625" style="1"/>
    <col min="11" max="11" width="17.140625" style="1" customWidth="1"/>
    <col min="12" max="12" width="19.28515625" style="1" customWidth="1"/>
    <col min="13" max="13" width="11.140625" style="1" bestFit="1" customWidth="1"/>
    <col min="14" max="14" width="9.140625" style="1"/>
    <col min="15" max="15" width="16.140625" style="1" customWidth="1"/>
    <col min="16" max="17" width="9.140625" style="1"/>
    <col min="18" max="18" width="25.42578125" style="1" customWidth="1"/>
    <col min="19" max="16384" width="9.140625" style="1"/>
  </cols>
  <sheetData>
    <row r="1" spans="1:11" x14ac:dyDescent="0.3">
      <c r="A1" s="221"/>
      <c r="B1" s="221"/>
      <c r="C1" s="221"/>
      <c r="D1" s="221"/>
      <c r="E1" s="221"/>
      <c r="F1" s="221"/>
      <c r="G1" s="221"/>
    </row>
    <row r="2" spans="1:11" x14ac:dyDescent="0.3">
      <c r="A2" s="221"/>
      <c r="B2" s="221"/>
      <c r="C2" s="221"/>
      <c r="D2" s="221"/>
      <c r="E2" s="221"/>
      <c r="F2" s="221"/>
      <c r="G2" s="221"/>
    </row>
    <row r="3" spans="1:11" x14ac:dyDescent="0.3">
      <c r="A3" s="221"/>
      <c r="B3" s="221"/>
      <c r="C3" s="221"/>
      <c r="D3" s="221"/>
      <c r="E3" s="221"/>
      <c r="F3" s="221"/>
      <c r="G3" s="221"/>
    </row>
    <row r="4" spans="1:11" x14ac:dyDescent="0.3">
      <c r="A4" s="221"/>
      <c r="B4" s="221"/>
      <c r="C4" s="221"/>
      <c r="D4" s="221"/>
      <c r="E4" s="221"/>
      <c r="F4" s="221"/>
      <c r="G4" s="221"/>
    </row>
    <row r="5" spans="1:11" x14ac:dyDescent="0.3">
      <c r="A5" s="221"/>
      <c r="B5" s="221"/>
      <c r="C5" s="221"/>
      <c r="D5" s="221"/>
      <c r="E5" s="221"/>
      <c r="F5" s="221"/>
      <c r="G5" s="221"/>
    </row>
    <row r="6" spans="1:11" x14ac:dyDescent="0.3">
      <c r="A6" s="221"/>
      <c r="B6" s="221"/>
      <c r="C6" s="221"/>
      <c r="D6" s="221"/>
      <c r="E6" s="221"/>
      <c r="F6" s="221"/>
      <c r="G6" s="221"/>
    </row>
    <row r="7" spans="1:11" x14ac:dyDescent="0.3">
      <c r="A7" s="221"/>
      <c r="B7" s="221"/>
      <c r="C7" s="221"/>
      <c r="D7" s="221"/>
      <c r="E7" s="221"/>
      <c r="F7" s="221"/>
      <c r="G7" s="221"/>
    </row>
    <row r="8" spans="1:11" x14ac:dyDescent="0.3">
      <c r="A8" s="221"/>
      <c r="B8" s="221"/>
      <c r="C8" s="221"/>
      <c r="D8" s="221"/>
      <c r="E8" s="221"/>
      <c r="F8" s="221"/>
      <c r="G8" s="221"/>
    </row>
    <row r="9" spans="1:11" x14ac:dyDescent="0.3">
      <c r="A9" s="221"/>
      <c r="B9" s="221"/>
      <c r="C9" s="221"/>
      <c r="D9" s="221"/>
      <c r="E9" s="221"/>
      <c r="F9" s="221"/>
      <c r="G9" s="221"/>
    </row>
    <row r="10" spans="1:11" x14ac:dyDescent="0.3">
      <c r="A10" s="221"/>
      <c r="B10" s="221"/>
      <c r="C10" s="221"/>
      <c r="D10" s="221"/>
      <c r="E10" s="221"/>
      <c r="F10" s="221"/>
      <c r="G10" s="221"/>
    </row>
    <row r="11" spans="1:11" ht="21" thickBot="1" x14ac:dyDescent="0.35">
      <c r="A11" s="298" t="s">
        <v>7</v>
      </c>
      <c r="B11" s="299"/>
      <c r="C11" s="299"/>
      <c r="D11" s="299"/>
      <c r="E11" s="299"/>
      <c r="F11" s="299"/>
      <c r="G11" s="299"/>
      <c r="I11" s="220"/>
    </row>
    <row r="12" spans="1:11" ht="18.75" customHeight="1" thickBot="1" x14ac:dyDescent="0.35">
      <c r="A12" s="100" t="s">
        <v>93</v>
      </c>
      <c r="B12" s="130" t="s">
        <v>1</v>
      </c>
      <c r="C12" s="99" t="s">
        <v>0</v>
      </c>
      <c r="D12" s="133" t="s">
        <v>125</v>
      </c>
      <c r="E12" s="302" t="s">
        <v>11</v>
      </c>
      <c r="F12" s="302"/>
      <c r="G12" s="226" t="s">
        <v>4</v>
      </c>
    </row>
    <row r="13" spans="1:11" x14ac:dyDescent="0.3">
      <c r="A13" s="165">
        <v>1</v>
      </c>
      <c r="B13" s="222" t="s">
        <v>5</v>
      </c>
      <c r="C13" s="118" t="s">
        <v>2</v>
      </c>
      <c r="D13" s="128">
        <v>40870</v>
      </c>
      <c r="E13" s="217">
        <v>0.15</v>
      </c>
      <c r="F13" s="128">
        <f>D13*E13</f>
        <v>6130.5</v>
      </c>
      <c r="G13" s="225">
        <f>D13+F13</f>
        <v>47000.5</v>
      </c>
      <c r="H13" s="118"/>
      <c r="I13" s="128"/>
    </row>
    <row r="14" spans="1:11" x14ac:dyDescent="0.3">
      <c r="A14" s="165">
        <v>2</v>
      </c>
      <c r="B14" s="219" t="s">
        <v>6</v>
      </c>
      <c r="C14" s="118" t="s">
        <v>2</v>
      </c>
      <c r="D14" s="223">
        <v>38000</v>
      </c>
      <c r="E14" s="217">
        <v>0.15</v>
      </c>
      <c r="F14" s="128">
        <f>D14*E14</f>
        <v>5700</v>
      </c>
      <c r="G14" s="128">
        <f>D14+F14</f>
        <v>43700</v>
      </c>
      <c r="H14" s="118"/>
      <c r="I14" s="118"/>
    </row>
    <row r="15" spans="1:11" x14ac:dyDescent="0.3">
      <c r="A15" s="165">
        <v>3</v>
      </c>
      <c r="B15" s="118" t="s">
        <v>99</v>
      </c>
      <c r="C15" s="118" t="s">
        <v>98</v>
      </c>
      <c r="D15" s="223">
        <v>24000</v>
      </c>
      <c r="E15" s="217">
        <v>0.15</v>
      </c>
      <c r="F15" s="128">
        <f>D15*E15</f>
        <v>3600</v>
      </c>
      <c r="G15" s="128">
        <f>D15+F15</f>
        <v>27600</v>
      </c>
      <c r="H15" s="118" t="s">
        <v>100</v>
      </c>
      <c r="I15" s="118"/>
    </row>
    <row r="16" spans="1:11" x14ac:dyDescent="0.3">
      <c r="A16" s="4"/>
      <c r="K16"/>
    </row>
    <row r="17" spans="1:12" ht="21" thickBot="1" x14ac:dyDescent="0.35">
      <c r="A17" s="300" t="s">
        <v>8</v>
      </c>
      <c r="B17" s="300"/>
      <c r="C17" s="300"/>
      <c r="D17" s="300"/>
      <c r="E17" s="300"/>
      <c r="F17" s="300"/>
      <c r="G17" s="300"/>
      <c r="K17"/>
    </row>
    <row r="18" spans="1:12" ht="18" thickBot="1" x14ac:dyDescent="0.35">
      <c r="A18" s="90" t="s">
        <v>93</v>
      </c>
      <c r="B18" s="131" t="s">
        <v>9</v>
      </c>
      <c r="C18" s="101" t="s">
        <v>12</v>
      </c>
      <c r="D18" s="131" t="s">
        <v>10</v>
      </c>
      <c r="E18" s="101" t="s">
        <v>94</v>
      </c>
      <c r="F18" s="102" t="s">
        <v>73</v>
      </c>
      <c r="G18" s="132" t="s">
        <v>13</v>
      </c>
      <c r="H18" s="125" t="s">
        <v>74</v>
      </c>
      <c r="I18" s="123"/>
      <c r="J18" s="124"/>
      <c r="K18"/>
    </row>
    <row r="19" spans="1:12" x14ac:dyDescent="0.3">
      <c r="A19" s="165">
        <v>1</v>
      </c>
      <c r="B19" s="219">
        <v>21</v>
      </c>
      <c r="C19" s="223">
        <f>G13/B19</f>
        <v>2238.1190476190477</v>
      </c>
      <c r="D19" s="219">
        <v>8</v>
      </c>
      <c r="E19" s="218">
        <f>C19/D19</f>
        <v>279.76488095238096</v>
      </c>
      <c r="F19" s="219">
        <v>2.4</v>
      </c>
      <c r="G19" s="224">
        <f>ROUNDUP(E19*F19,-0.5)</f>
        <v>672</v>
      </c>
      <c r="H19" s="301">
        <f>G19*D19</f>
        <v>5376</v>
      </c>
      <c r="I19" s="301"/>
      <c r="J19" s="301"/>
      <c r="K19" s="118" t="s">
        <v>97</v>
      </c>
      <c r="L19" s="118" t="s">
        <v>2</v>
      </c>
    </row>
    <row r="20" spans="1:12" x14ac:dyDescent="0.3">
      <c r="A20" s="165">
        <v>2</v>
      </c>
      <c r="B20" s="219">
        <v>21</v>
      </c>
      <c r="C20" s="223">
        <f>G14/B20</f>
        <v>2080.9523809523807</v>
      </c>
      <c r="D20" s="219">
        <v>8</v>
      </c>
      <c r="E20" s="218">
        <f>C20/D20</f>
        <v>260.11904761904759</v>
      </c>
      <c r="F20" s="219">
        <v>2.4</v>
      </c>
      <c r="G20" s="224">
        <f>ROUNDUP(E20*F20,-0.5)</f>
        <v>625</v>
      </c>
      <c r="H20" s="297">
        <f>G20*D20</f>
        <v>5000</v>
      </c>
      <c r="I20" s="297"/>
      <c r="J20" s="297"/>
      <c r="K20" s="118" t="s">
        <v>77</v>
      </c>
      <c r="L20" s="118" t="s">
        <v>2</v>
      </c>
    </row>
    <row r="21" spans="1:12" x14ac:dyDescent="0.3">
      <c r="A21" s="165">
        <v>3</v>
      </c>
      <c r="B21" s="118">
        <v>21</v>
      </c>
      <c r="C21" s="128">
        <f>G15/B21</f>
        <v>1314.2857142857142</v>
      </c>
      <c r="D21" s="219">
        <v>8</v>
      </c>
      <c r="E21" s="218">
        <f>C21/D21</f>
        <v>164.28571428571428</v>
      </c>
      <c r="F21" s="118">
        <v>2.4</v>
      </c>
      <c r="G21" s="224">
        <f>ROUNDUP(E21*F21,-0.5)</f>
        <v>395</v>
      </c>
      <c r="H21" s="297">
        <f>G21*D21</f>
        <v>3160</v>
      </c>
      <c r="I21" s="297"/>
      <c r="J21" s="297"/>
      <c r="K21" s="118" t="str">
        <f>B15</f>
        <v>Johan Hugo</v>
      </c>
      <c r="L21" s="118" t="s">
        <v>101</v>
      </c>
    </row>
    <row r="22" spans="1:12" x14ac:dyDescent="0.3">
      <c r="A22" s="4"/>
      <c r="K22"/>
    </row>
    <row r="23" spans="1:12" x14ac:dyDescent="0.3">
      <c r="A23" s="4"/>
      <c r="B23"/>
      <c r="C23"/>
      <c r="D23"/>
      <c r="E23"/>
      <c r="F23"/>
      <c r="G23"/>
      <c r="H23"/>
      <c r="I23"/>
      <c r="K23"/>
    </row>
    <row r="24" spans="1:12" x14ac:dyDescent="0.3">
      <c r="A24" s="4"/>
      <c r="B24"/>
      <c r="C24"/>
      <c r="D24"/>
      <c r="E24"/>
      <c r="F24"/>
      <c r="G24"/>
      <c r="H24"/>
      <c r="I24"/>
    </row>
    <row r="25" spans="1:12" x14ac:dyDescent="0.3">
      <c r="A25" s="4"/>
      <c r="B25"/>
      <c r="C25"/>
      <c r="D25"/>
      <c r="E25"/>
      <c r="F25"/>
      <c r="G25"/>
      <c r="H25"/>
      <c r="I25"/>
    </row>
    <row r="26" spans="1:12" x14ac:dyDescent="0.3">
      <c r="A26" s="4"/>
      <c r="B26"/>
      <c r="C26"/>
      <c r="D26"/>
      <c r="E26"/>
      <c r="F26"/>
      <c r="G26"/>
      <c r="H26"/>
      <c r="I26"/>
    </row>
    <row r="27" spans="1:12" x14ac:dyDescent="0.3">
      <c r="A27" s="4"/>
      <c r="B27"/>
      <c r="C27"/>
      <c r="D27"/>
      <c r="E27"/>
      <c r="F27"/>
      <c r="G27"/>
      <c r="H27"/>
      <c r="I27"/>
    </row>
    <row r="28" spans="1:12" x14ac:dyDescent="0.3">
      <c r="A28" s="4"/>
      <c r="B28"/>
      <c r="C28"/>
      <c r="D28"/>
      <c r="E28"/>
      <c r="F28"/>
      <c r="G28"/>
      <c r="H28"/>
      <c r="I28"/>
    </row>
    <row r="29" spans="1:12" x14ac:dyDescent="0.3">
      <c r="A29" s="4"/>
      <c r="B29"/>
      <c r="C29"/>
      <c r="D29"/>
      <c r="E29"/>
      <c r="F29"/>
      <c r="G29"/>
      <c r="H29"/>
      <c r="I29"/>
    </row>
    <row r="30" spans="1:12" x14ac:dyDescent="0.3">
      <c r="A30" s="4"/>
      <c r="B30"/>
      <c r="C30"/>
      <c r="D30"/>
      <c r="E30"/>
      <c r="F30"/>
      <c r="G30"/>
      <c r="H30"/>
      <c r="I30"/>
    </row>
    <row r="31" spans="1:12" x14ac:dyDescent="0.3">
      <c r="A31" s="4"/>
      <c r="B31"/>
      <c r="C31"/>
      <c r="D31"/>
      <c r="E31"/>
      <c r="F31"/>
      <c r="G31"/>
      <c r="H31"/>
      <c r="I31"/>
    </row>
    <row r="32" spans="1:12" x14ac:dyDescent="0.3">
      <c r="B32"/>
      <c r="C32"/>
      <c r="D32"/>
      <c r="E32"/>
      <c r="F32"/>
      <c r="G32"/>
      <c r="H32"/>
      <c r="I32"/>
    </row>
    <row r="33" spans="2:9" x14ac:dyDescent="0.3">
      <c r="B33"/>
      <c r="C33"/>
      <c r="D33"/>
      <c r="E33"/>
      <c r="F33"/>
      <c r="G33"/>
      <c r="H33"/>
      <c r="I33"/>
    </row>
    <row r="34" spans="2:9" x14ac:dyDescent="0.3">
      <c r="B34"/>
      <c r="C34"/>
      <c r="D34"/>
      <c r="E34"/>
      <c r="F34"/>
      <c r="G34"/>
      <c r="H34"/>
      <c r="I34"/>
    </row>
    <row r="35" spans="2:9" x14ac:dyDescent="0.3">
      <c r="B35"/>
      <c r="C35"/>
      <c r="D35"/>
      <c r="E35"/>
      <c r="F35"/>
      <c r="G35"/>
      <c r="H35"/>
      <c r="I35"/>
    </row>
    <row r="36" spans="2:9" x14ac:dyDescent="0.3">
      <c r="B36"/>
      <c r="C36"/>
      <c r="D36"/>
      <c r="E36"/>
      <c r="F36"/>
      <c r="G36"/>
      <c r="H36"/>
      <c r="I36"/>
    </row>
    <row r="37" spans="2:9" x14ac:dyDescent="0.3">
      <c r="B37"/>
      <c r="C37"/>
      <c r="D37"/>
      <c r="E37"/>
      <c r="F37"/>
      <c r="G37"/>
      <c r="H37"/>
      <c r="I37"/>
    </row>
    <row r="38" spans="2:9" x14ac:dyDescent="0.3">
      <c r="B38"/>
      <c r="C38"/>
      <c r="D38"/>
      <c r="E38"/>
      <c r="F38"/>
      <c r="G38"/>
      <c r="H38"/>
      <c r="I38"/>
    </row>
    <row r="39" spans="2:9" x14ac:dyDescent="0.3">
      <c r="B39"/>
      <c r="C39"/>
      <c r="D39"/>
      <c r="E39"/>
      <c r="F39"/>
      <c r="G39"/>
      <c r="H39"/>
      <c r="I39"/>
    </row>
    <row r="40" spans="2:9" x14ac:dyDescent="0.3">
      <c r="B40"/>
      <c r="C40"/>
      <c r="D40"/>
      <c r="E40"/>
      <c r="F40"/>
      <c r="G40"/>
      <c r="H40"/>
      <c r="I40"/>
    </row>
    <row r="41" spans="2:9" x14ac:dyDescent="0.3">
      <c r="B41"/>
      <c r="C41"/>
      <c r="D41"/>
      <c r="E41"/>
      <c r="F41"/>
      <c r="G41"/>
      <c r="H41"/>
      <c r="I41"/>
    </row>
    <row r="42" spans="2:9" x14ac:dyDescent="0.3">
      <c r="B42"/>
      <c r="C42"/>
      <c r="D42"/>
      <c r="E42"/>
      <c r="F42"/>
      <c r="G42"/>
      <c r="H42"/>
      <c r="I42"/>
    </row>
    <row r="43" spans="2:9" x14ac:dyDescent="0.3">
      <c r="B43"/>
      <c r="C43"/>
      <c r="D43"/>
      <c r="E43"/>
      <c r="F43"/>
      <c r="G43"/>
      <c r="H43"/>
      <c r="I43"/>
    </row>
  </sheetData>
  <mergeCells count="6">
    <mergeCell ref="H21:J21"/>
    <mergeCell ref="A11:G11"/>
    <mergeCell ref="A17:G17"/>
    <mergeCell ref="H19:J19"/>
    <mergeCell ref="E12:F12"/>
    <mergeCell ref="H20:J20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E2FCD-E8EA-4DBC-B647-591C66CE69D8}">
  <dimension ref="A1:N109"/>
  <sheetViews>
    <sheetView topLeftCell="A13" zoomScaleNormal="100" workbookViewId="0">
      <selection activeCell="H17" sqref="H17:H18"/>
    </sheetView>
  </sheetViews>
  <sheetFormatPr defaultRowHeight="15" x14ac:dyDescent="0.25"/>
  <cols>
    <col min="1" max="1" width="37.140625" bestFit="1" customWidth="1"/>
    <col min="2" max="2" width="17.85546875" customWidth="1"/>
    <col min="4" max="4" width="20.7109375" bestFit="1" customWidth="1"/>
    <col min="5" max="5" width="16.5703125" bestFit="1" customWidth="1"/>
    <col min="6" max="6" width="17.85546875" bestFit="1" customWidth="1"/>
    <col min="7" max="7" width="11.85546875" bestFit="1" customWidth="1"/>
    <col min="8" max="8" width="26" bestFit="1" customWidth="1"/>
    <col min="10" max="10" width="24.42578125" bestFit="1" customWidth="1"/>
    <col min="11" max="11" width="23.140625" bestFit="1" customWidth="1"/>
    <col min="12" max="12" width="30.42578125" bestFit="1" customWidth="1"/>
    <col min="13" max="13" width="31.7109375" bestFit="1" customWidth="1"/>
    <col min="14" max="14" width="23.7109375" bestFit="1" customWidth="1"/>
  </cols>
  <sheetData>
    <row r="1" spans="1:13" ht="17.25" x14ac:dyDescent="0.3">
      <c r="A1" s="221"/>
      <c r="B1" s="221"/>
      <c r="C1" s="221"/>
      <c r="D1" s="221"/>
      <c r="E1" s="221"/>
      <c r="F1" s="221"/>
      <c r="G1" s="221"/>
      <c r="H1" s="221"/>
      <c r="I1" s="1"/>
      <c r="J1" s="1"/>
      <c r="K1" s="1"/>
      <c r="L1" s="1"/>
      <c r="M1" s="1"/>
    </row>
    <row r="2" spans="1:13" ht="17.25" x14ac:dyDescent="0.3">
      <c r="A2" s="221"/>
      <c r="B2" s="221"/>
      <c r="C2" s="221"/>
      <c r="D2" s="221"/>
      <c r="E2" s="221"/>
      <c r="F2" s="221"/>
      <c r="G2" s="221"/>
      <c r="H2" s="221"/>
      <c r="I2" s="2"/>
      <c r="J2" s="2"/>
      <c r="K2" s="1"/>
      <c r="L2" s="1"/>
      <c r="M2" s="1"/>
    </row>
    <row r="3" spans="1:13" ht="17.25" x14ac:dyDescent="0.3">
      <c r="A3" s="221"/>
      <c r="B3" s="221"/>
      <c r="C3" s="221"/>
      <c r="D3" s="221"/>
      <c r="E3" s="221"/>
      <c r="F3" s="221"/>
      <c r="G3" s="221"/>
      <c r="H3" s="221"/>
      <c r="I3" s="2"/>
      <c r="J3" s="2"/>
      <c r="K3" s="1"/>
      <c r="L3" s="1"/>
      <c r="M3" s="1"/>
    </row>
    <row r="4" spans="1:13" ht="17.25" x14ac:dyDescent="0.3">
      <c r="A4" s="221"/>
      <c r="B4" s="221"/>
      <c r="C4" s="221"/>
      <c r="D4" s="221"/>
      <c r="E4" s="221"/>
      <c r="F4" s="221"/>
      <c r="G4" s="221"/>
      <c r="H4" s="221"/>
      <c r="I4" s="2"/>
      <c r="J4" s="2"/>
      <c r="K4" s="1"/>
      <c r="L4" s="1"/>
      <c r="M4" s="1"/>
    </row>
    <row r="5" spans="1:13" ht="17.25" x14ac:dyDescent="0.3">
      <c r="A5" s="221"/>
      <c r="B5" s="221"/>
      <c r="C5" s="221"/>
      <c r="D5" s="221"/>
      <c r="E5" s="221"/>
      <c r="F5" s="221"/>
      <c r="G5" s="221"/>
      <c r="H5" s="221"/>
      <c r="I5" s="2"/>
      <c r="J5" s="2"/>
      <c r="K5" s="1"/>
      <c r="L5" s="1"/>
      <c r="M5" s="1"/>
    </row>
    <row r="6" spans="1:13" ht="17.25" x14ac:dyDescent="0.3">
      <c r="A6" s="221"/>
      <c r="B6" s="221"/>
      <c r="C6" s="221"/>
      <c r="D6" s="221"/>
      <c r="E6" s="221"/>
      <c r="F6" s="221"/>
      <c r="G6" s="221"/>
      <c r="H6" s="221"/>
      <c r="I6" s="1"/>
      <c r="J6" s="1"/>
      <c r="K6" s="1"/>
      <c r="L6" s="1"/>
      <c r="M6" s="1"/>
    </row>
    <row r="7" spans="1:13" ht="17.25" x14ac:dyDescent="0.3">
      <c r="A7" s="221"/>
      <c r="B7" s="221"/>
      <c r="C7" s="221"/>
      <c r="D7" s="221"/>
      <c r="E7" s="221"/>
      <c r="F7" s="221"/>
      <c r="G7" s="221"/>
      <c r="H7" s="221"/>
      <c r="I7" s="2"/>
      <c r="J7" s="2"/>
      <c r="K7" s="1"/>
      <c r="L7" s="1"/>
      <c r="M7" s="1"/>
    </row>
    <row r="8" spans="1:13" ht="17.25" x14ac:dyDescent="0.3">
      <c r="A8" s="221"/>
      <c r="B8" s="221"/>
      <c r="C8" s="221"/>
      <c r="D8" s="221"/>
      <c r="E8" s="221"/>
      <c r="F8" s="221"/>
      <c r="G8" s="221"/>
      <c r="H8" s="221"/>
      <c r="I8" s="2"/>
      <c r="J8" s="2"/>
      <c r="K8" s="1"/>
      <c r="L8" s="1"/>
      <c r="M8" s="1"/>
    </row>
    <row r="9" spans="1:13" ht="17.25" x14ac:dyDescent="0.3">
      <c r="A9" s="221"/>
      <c r="B9" s="221"/>
      <c r="C9" s="221"/>
      <c r="D9" s="221"/>
      <c r="E9" s="221"/>
      <c r="F9" s="221"/>
      <c r="G9" s="221"/>
      <c r="H9" s="221"/>
      <c r="I9" s="1"/>
      <c r="K9" s="3"/>
      <c r="L9" s="1"/>
      <c r="M9" s="1"/>
    </row>
    <row r="10" spans="1:13" ht="18" thickBot="1" x14ac:dyDescent="0.35">
      <c r="A10" s="221"/>
      <c r="B10" s="221"/>
      <c r="C10" s="221"/>
      <c r="D10" s="221"/>
      <c r="E10" s="221"/>
      <c r="F10" s="221"/>
      <c r="G10" s="221"/>
      <c r="H10" s="221"/>
      <c r="I10" s="2"/>
      <c r="J10" s="2"/>
      <c r="K10" s="3"/>
      <c r="L10" s="1"/>
      <c r="M10" s="1"/>
    </row>
    <row r="11" spans="1:13" ht="21" thickBot="1" x14ac:dyDescent="0.35">
      <c r="A11" s="328" t="s">
        <v>14</v>
      </c>
      <c r="B11" s="329"/>
      <c r="C11" s="329"/>
      <c r="D11" s="329"/>
      <c r="E11" s="329"/>
      <c r="F11" s="329"/>
      <c r="G11" s="329"/>
      <c r="H11" s="330"/>
      <c r="I11" s="1"/>
      <c r="J11" s="1"/>
      <c r="K11" s="3" t="s">
        <v>182</v>
      </c>
      <c r="L11" s="1"/>
      <c r="M11" s="1"/>
    </row>
    <row r="12" spans="1:13" ht="18" thickBot="1" x14ac:dyDescent="0.35">
      <c r="A12" s="69"/>
      <c r="B12" s="69"/>
      <c r="C12" s="69"/>
      <c r="D12" s="69"/>
      <c r="E12" s="69"/>
      <c r="F12" s="69"/>
      <c r="G12" s="69"/>
      <c r="H12" s="69"/>
      <c r="K12" s="1"/>
      <c r="L12" s="1"/>
      <c r="M12" s="1"/>
    </row>
    <row r="13" spans="1:13" ht="18.75" x14ac:dyDescent="0.3">
      <c r="A13" s="331" t="s">
        <v>65</v>
      </c>
      <c r="B13" s="332"/>
      <c r="C13" s="333"/>
      <c r="D13" s="1"/>
      <c r="E13" s="4" t="s">
        <v>66</v>
      </c>
      <c r="F13" s="1"/>
      <c r="G13" s="1"/>
      <c r="H13" s="1"/>
      <c r="K13" s="1"/>
      <c r="L13" s="1"/>
      <c r="M13" s="1"/>
    </row>
    <row r="14" spans="1:13" ht="18" thickBot="1" x14ac:dyDescent="0.35">
      <c r="A14" s="334" t="s">
        <v>61</v>
      </c>
      <c r="B14" s="311"/>
      <c r="C14" s="311"/>
      <c r="D14" s="57" t="s">
        <v>63</v>
      </c>
      <c r="E14" s="57" t="s">
        <v>64</v>
      </c>
      <c r="F14" s="57" t="s">
        <v>62</v>
      </c>
      <c r="G14" s="72" t="s">
        <v>18</v>
      </c>
      <c r="H14" s="57"/>
      <c r="I14" s="1"/>
      <c r="J14" s="1"/>
      <c r="K14" s="1"/>
      <c r="M14" s="3"/>
    </row>
    <row r="15" spans="1:13" ht="18" thickBot="1" x14ac:dyDescent="0.35">
      <c r="A15" s="335" t="s">
        <v>81</v>
      </c>
      <c r="B15" s="336"/>
      <c r="C15" s="71"/>
      <c r="D15" s="71"/>
      <c r="E15" s="71"/>
      <c r="F15" s="76">
        <f>SUM(F16:F29)</f>
        <v>84</v>
      </c>
      <c r="G15" s="270">
        <f>SUM(G16:G22)</f>
        <v>10.5</v>
      </c>
      <c r="H15" s="201">
        <f>SUM(H16:H22)</f>
        <v>39620</v>
      </c>
      <c r="I15" s="1"/>
      <c r="J15" s="321" t="s">
        <v>75</v>
      </c>
      <c r="K15" s="322"/>
      <c r="L15" s="323"/>
      <c r="M15" s="166">
        <f>G15</f>
        <v>10.5</v>
      </c>
    </row>
    <row r="16" spans="1:13" ht="17.25" x14ac:dyDescent="0.3">
      <c r="A16" s="196" t="s">
        <v>180</v>
      </c>
      <c r="B16" s="327"/>
      <c r="C16" s="327"/>
      <c r="D16" s="60" t="s">
        <v>77</v>
      </c>
      <c r="E16" s="60">
        <f>IF(D16="Dewald", Employees!$G$20,IF(D16="Hannes",Employees!$G$19,IF(D16="Johan",Employees!$G$21,"")))</f>
        <v>625</v>
      </c>
      <c r="F16" s="3">
        <f>G16*8</f>
        <v>4</v>
      </c>
      <c r="G16" s="197">
        <v>0.5</v>
      </c>
      <c r="H16" s="199">
        <f>F16*E16</f>
        <v>2500</v>
      </c>
      <c r="I16" s="1"/>
      <c r="M16" s="3"/>
    </row>
    <row r="17" spans="1:14" ht="17.25" x14ac:dyDescent="0.3">
      <c r="A17" s="303" t="s">
        <v>177</v>
      </c>
      <c r="B17" s="303"/>
      <c r="C17" s="1"/>
      <c r="D17" s="60" t="s">
        <v>130</v>
      </c>
      <c r="E17" s="60">
        <f>IF(D17="Dewald", Employees!$G$20,IF(D17="Hannes",Employees!$G$19,IF(D17="Johan",Employees!$G$21,"")))</f>
        <v>395</v>
      </c>
      <c r="F17" s="3">
        <f>G17*8</f>
        <v>40</v>
      </c>
      <c r="G17" s="197">
        <v>5</v>
      </c>
      <c r="H17" s="199">
        <f t="shared" ref="H17:H18" si="0">F17*E17</f>
        <v>15800</v>
      </c>
      <c r="I17" s="1"/>
      <c r="M17" s="3"/>
    </row>
    <row r="18" spans="1:14" ht="18" thickBot="1" x14ac:dyDescent="0.35">
      <c r="A18" s="303" t="s">
        <v>178</v>
      </c>
      <c r="B18" s="303"/>
      <c r="C18" s="1"/>
      <c r="D18" s="60" t="s">
        <v>130</v>
      </c>
      <c r="E18" s="60">
        <f>IF(D18="Dewald", Employees!$G$20,IF(D18="Hannes",Employees!$G$19,IF(D18="Johan",Employees!$G$21,"")))</f>
        <v>395</v>
      </c>
      <c r="F18" s="3">
        <f>G18*8</f>
        <v>16</v>
      </c>
      <c r="G18" s="197">
        <v>2</v>
      </c>
      <c r="H18" s="199">
        <f t="shared" si="0"/>
        <v>6320</v>
      </c>
      <c r="I18" s="1"/>
      <c r="M18" s="3"/>
    </row>
    <row r="19" spans="1:14" ht="18" thickBot="1" x14ac:dyDescent="0.35">
      <c r="A19" s="303" t="s">
        <v>181</v>
      </c>
      <c r="B19" s="303"/>
      <c r="C19" s="1"/>
      <c r="D19" s="60" t="s">
        <v>77</v>
      </c>
      <c r="E19" s="60">
        <f>IF(D19="Dewald", Employees!$G$20,IF(D19="Hannes",Employees!$G$19,IF(D19="Johan",Employees!$G$21,"")))</f>
        <v>625</v>
      </c>
      <c r="F19" s="3">
        <f>G19*8</f>
        <v>20</v>
      </c>
      <c r="G19" s="197">
        <v>2.5</v>
      </c>
      <c r="H19" s="199">
        <f>F19*E19</f>
        <v>12500</v>
      </c>
      <c r="I19" s="1"/>
      <c r="J19" s="324" t="s">
        <v>78</v>
      </c>
      <c r="K19" s="325"/>
      <c r="L19" s="326"/>
      <c r="M19" s="110">
        <f>H26/M15</f>
        <v>3773.3333333333335</v>
      </c>
    </row>
    <row r="20" spans="1:14" ht="17.25" x14ac:dyDescent="0.3">
      <c r="A20" s="196" t="s">
        <v>179</v>
      </c>
      <c r="D20" s="60" t="s">
        <v>77</v>
      </c>
      <c r="E20" s="60">
        <v>625</v>
      </c>
      <c r="F20" s="3">
        <f>G20*8</f>
        <v>4</v>
      </c>
      <c r="G20" s="197">
        <v>0.5</v>
      </c>
      <c r="H20" s="199">
        <f>F20*E20</f>
        <v>2500</v>
      </c>
      <c r="I20" s="1"/>
      <c r="M20" s="97"/>
    </row>
    <row r="21" spans="1:14" ht="17.25" x14ac:dyDescent="0.3">
      <c r="A21" s="196"/>
      <c r="D21" s="60"/>
      <c r="E21" s="60"/>
      <c r="F21" s="3"/>
      <c r="G21" s="197"/>
      <c r="H21" s="199"/>
      <c r="I21" s="1"/>
      <c r="M21" s="97"/>
    </row>
    <row r="22" spans="1:14" ht="18" thickBot="1" x14ac:dyDescent="0.35">
      <c r="A22" s="303"/>
      <c r="B22" s="303"/>
      <c r="D22" s="60"/>
      <c r="E22" s="60"/>
      <c r="F22" s="3"/>
      <c r="G22" s="197"/>
      <c r="H22" s="199"/>
      <c r="I22" s="1"/>
    </row>
    <row r="23" spans="1:14" ht="18" thickBot="1" x14ac:dyDescent="0.35">
      <c r="H23" s="173"/>
      <c r="I23" s="1"/>
      <c r="J23" s="105" t="s">
        <v>95</v>
      </c>
      <c r="K23" s="107" t="s">
        <v>88</v>
      </c>
      <c r="L23" s="108" t="s">
        <v>83</v>
      </c>
      <c r="M23" s="109" t="s">
        <v>86</v>
      </c>
      <c r="N23" s="106" t="s">
        <v>84</v>
      </c>
    </row>
    <row r="24" spans="1:14" ht="18" x14ac:dyDescent="0.3">
      <c r="A24" s="73"/>
      <c r="B24" s="73"/>
      <c r="D24" s="92"/>
      <c r="F24" s="92" t="s">
        <v>80</v>
      </c>
      <c r="G24" s="73"/>
      <c r="H24" s="198">
        <f>H15</f>
        <v>39620</v>
      </c>
      <c r="I24" s="1"/>
      <c r="J24" s="111">
        <f>H26</f>
        <v>39620</v>
      </c>
      <c r="K24" s="60">
        <f>J24*0.05</f>
        <v>1981</v>
      </c>
      <c r="L24" s="60">
        <f>J24-K24</f>
        <v>37639</v>
      </c>
      <c r="M24" s="111">
        <f>L24-N24</f>
        <v>21956.083333333332</v>
      </c>
      <c r="N24" s="113">
        <f>L24/2.4</f>
        <v>15682.916666666668</v>
      </c>
    </row>
    <row r="25" spans="1:14" ht="18.75" thickBot="1" x14ac:dyDescent="0.35">
      <c r="A25" s="73"/>
      <c r="B25" s="73"/>
      <c r="C25" s="73"/>
      <c r="F25" s="92" t="s">
        <v>79</v>
      </c>
      <c r="G25" s="74">
        <v>0</v>
      </c>
      <c r="H25" s="198">
        <f>H24*G25</f>
        <v>0</v>
      </c>
      <c r="I25" s="1"/>
      <c r="M25" s="97"/>
    </row>
    <row r="26" spans="1:14" ht="19.5" thickBot="1" x14ac:dyDescent="0.35">
      <c r="A26" s="1"/>
      <c r="B26" s="1"/>
      <c r="C26" s="1"/>
      <c r="D26" s="1"/>
      <c r="F26" s="147" t="s">
        <v>69</v>
      </c>
      <c r="G26" s="148"/>
      <c r="H26" s="200">
        <f>(H24-H25)</f>
        <v>39620</v>
      </c>
      <c r="I26" s="1"/>
      <c r="J26" s="104" t="s">
        <v>85</v>
      </c>
      <c r="K26" s="95"/>
      <c r="L26" s="95"/>
      <c r="M26" s="112">
        <f>M24*0.15</f>
        <v>3293.4124999999999</v>
      </c>
    </row>
    <row r="27" spans="1:14" ht="18" thickBot="1" x14ac:dyDescent="0.35">
      <c r="A27" s="1"/>
      <c r="B27" s="1"/>
      <c r="C27" s="1"/>
      <c r="D27" s="1"/>
      <c r="E27" s="1"/>
      <c r="F27" s="1"/>
      <c r="G27" s="1"/>
      <c r="H27" s="1"/>
      <c r="I27" s="1"/>
    </row>
    <row r="28" spans="1:14" ht="18" thickBot="1" x14ac:dyDescent="0.35">
      <c r="A28" s="78"/>
      <c r="B28" s="78"/>
      <c r="C28" s="78"/>
      <c r="D28" s="78"/>
      <c r="E28" s="78"/>
      <c r="F28" s="78"/>
      <c r="G28" s="78"/>
      <c r="H28" s="78"/>
      <c r="I28" s="1"/>
      <c r="J28" s="103" t="s">
        <v>87</v>
      </c>
      <c r="K28" s="95"/>
      <c r="L28" s="95"/>
      <c r="M28" s="112">
        <f>M24-M26</f>
        <v>18662.670833333334</v>
      </c>
    </row>
    <row r="29" spans="1:14" ht="18" thickBot="1" x14ac:dyDescent="0.35">
      <c r="H29" s="173"/>
      <c r="I29" s="1"/>
    </row>
    <row r="30" spans="1:14" ht="19.5" thickBot="1" x14ac:dyDescent="0.35">
      <c r="A30" s="208" t="s">
        <v>71</v>
      </c>
      <c r="B30" s="160"/>
      <c r="C30" s="161"/>
      <c r="D30" s="1"/>
      <c r="E30" s="3"/>
      <c r="F30" s="1"/>
      <c r="G30" s="1"/>
      <c r="H30" s="1"/>
      <c r="I30" s="1"/>
      <c r="J30" s="1"/>
      <c r="K30" s="94"/>
      <c r="M30" s="97"/>
    </row>
    <row r="31" spans="1:14" ht="18" thickBot="1" x14ac:dyDescent="0.35">
      <c r="A31" s="143" t="s">
        <v>61</v>
      </c>
      <c r="B31" s="134"/>
      <c r="C31" s="134"/>
      <c r="D31" s="134"/>
      <c r="E31" s="134"/>
      <c r="F31" s="134"/>
      <c r="G31" s="213"/>
      <c r="H31" s="135"/>
    </row>
    <row r="32" spans="1:14" ht="18" thickBot="1" x14ac:dyDescent="0.35">
      <c r="I32" s="1"/>
      <c r="J32" s="175" t="s">
        <v>117</v>
      </c>
      <c r="K32" s="175" t="s">
        <v>118</v>
      </c>
      <c r="L32" s="175" t="s">
        <v>119</v>
      </c>
      <c r="M32" s="60"/>
    </row>
    <row r="33" spans="1:13" ht="18" thickBot="1" x14ac:dyDescent="0.35">
      <c r="A33" s="162" t="s">
        <v>81</v>
      </c>
      <c r="B33" s="163"/>
      <c r="C33" s="71"/>
      <c r="D33" s="134" t="s">
        <v>63</v>
      </c>
      <c r="E33" s="134" t="s">
        <v>70</v>
      </c>
      <c r="F33" s="134" t="s">
        <v>72</v>
      </c>
      <c r="G33" s="212"/>
      <c r="H33" s="201">
        <f>SUM(H34:H38)</f>
        <v>77350</v>
      </c>
      <c r="I33" s="1"/>
      <c r="J33" s="176" t="s">
        <v>114</v>
      </c>
      <c r="K33" s="177">
        <v>0.6</v>
      </c>
      <c r="L33" s="178">
        <f>J24*K33</f>
        <v>23772</v>
      </c>
    </row>
    <row r="34" spans="1:13" ht="17.25" x14ac:dyDescent="0.3">
      <c r="A34" s="196" t="s">
        <v>44</v>
      </c>
      <c r="B34" s="196"/>
      <c r="C34" s="1"/>
      <c r="D34" s="60" t="s">
        <v>77</v>
      </c>
      <c r="E34" s="5">
        <v>110</v>
      </c>
      <c r="F34" s="1">
        <v>325</v>
      </c>
      <c r="G34" s="70"/>
      <c r="H34" s="199">
        <f>F34*E34</f>
        <v>35750</v>
      </c>
      <c r="I34" s="1"/>
      <c r="J34" s="176" t="s">
        <v>115</v>
      </c>
      <c r="K34" s="177">
        <v>0.32</v>
      </c>
      <c r="L34" s="178">
        <f>J24*K34</f>
        <v>12678.4</v>
      </c>
    </row>
    <row r="35" spans="1:13" ht="18" thickBot="1" x14ac:dyDescent="0.35">
      <c r="A35" s="196" t="s">
        <v>122</v>
      </c>
      <c r="B35" s="196"/>
      <c r="C35" s="1"/>
      <c r="D35" s="60" t="s">
        <v>77</v>
      </c>
      <c r="E35" s="5">
        <v>100</v>
      </c>
      <c r="F35" s="1">
        <v>325</v>
      </c>
      <c r="G35" s="70"/>
      <c r="H35" s="199">
        <f t="shared" ref="H35:H36" si="1">F35*E35</f>
        <v>32500</v>
      </c>
      <c r="J35" s="179" t="s">
        <v>116</v>
      </c>
      <c r="K35" s="180">
        <v>0.08</v>
      </c>
      <c r="L35" s="181">
        <f>J24*K35</f>
        <v>3169.6</v>
      </c>
      <c r="M35" s="1"/>
    </row>
    <row r="36" spans="1:13" ht="18" thickBot="1" x14ac:dyDescent="0.35">
      <c r="A36" s="196" t="s">
        <v>82</v>
      </c>
      <c r="B36" s="196"/>
      <c r="C36" s="1"/>
      <c r="D36" s="60" t="s">
        <v>77</v>
      </c>
      <c r="E36" s="5">
        <v>6</v>
      </c>
      <c r="F36" s="1">
        <v>325</v>
      </c>
      <c r="G36" s="70"/>
      <c r="H36" s="199">
        <f t="shared" si="1"/>
        <v>1950</v>
      </c>
      <c r="J36" s="182" t="s">
        <v>3</v>
      </c>
      <c r="K36" s="183">
        <f>SUM(K33:K35)</f>
        <v>0.99999999999999989</v>
      </c>
      <c r="L36" s="174">
        <f>SUM(L33:L35)</f>
        <v>39620</v>
      </c>
      <c r="M36" s="1"/>
    </row>
    <row r="37" spans="1:13" ht="17.25" x14ac:dyDescent="0.3">
      <c r="A37" s="196" t="s">
        <v>126</v>
      </c>
      <c r="B37" s="196"/>
      <c r="D37" s="60" t="s">
        <v>77</v>
      </c>
      <c r="E37" s="5">
        <v>10</v>
      </c>
      <c r="F37" s="1">
        <v>325</v>
      </c>
      <c r="G37" s="1"/>
      <c r="H37" s="199">
        <f>F37*E37</f>
        <v>3250</v>
      </c>
      <c r="M37" s="1"/>
    </row>
    <row r="38" spans="1:13" ht="17.25" x14ac:dyDescent="0.3">
      <c r="A38" s="196" t="s">
        <v>129</v>
      </c>
      <c r="B38" s="196"/>
      <c r="D38" s="60" t="s">
        <v>77</v>
      </c>
      <c r="E38" s="5">
        <v>12</v>
      </c>
      <c r="F38" s="1">
        <v>325</v>
      </c>
      <c r="G38" s="1"/>
      <c r="H38" s="199">
        <f>F38*E38</f>
        <v>3900</v>
      </c>
      <c r="M38" s="1"/>
    </row>
    <row r="39" spans="1:13" ht="17.25" x14ac:dyDescent="0.3">
      <c r="M39" s="1"/>
    </row>
    <row r="40" spans="1:13" ht="18" x14ac:dyDescent="0.3">
      <c r="A40" s="73"/>
      <c r="C40" s="73"/>
      <c r="D40" s="73"/>
      <c r="F40" s="92" t="s">
        <v>123</v>
      </c>
      <c r="G40" s="73"/>
      <c r="H40" s="198">
        <f>H33</f>
        <v>77350</v>
      </c>
      <c r="J40" s="173"/>
      <c r="M40" s="1"/>
    </row>
    <row r="41" spans="1:13" ht="18.75" thickBot="1" x14ac:dyDescent="0.35">
      <c r="A41" s="73"/>
      <c r="B41" s="73"/>
      <c r="C41" s="73"/>
      <c r="E41" s="146"/>
      <c r="F41" s="92" t="s">
        <v>79</v>
      </c>
      <c r="G41" s="74">
        <v>0</v>
      </c>
      <c r="H41" s="4"/>
      <c r="J41" s="173"/>
      <c r="M41" s="1"/>
    </row>
    <row r="42" spans="1:13" ht="19.5" thickBot="1" x14ac:dyDescent="0.35">
      <c r="A42" s="1"/>
      <c r="B42" s="1"/>
      <c r="C42" s="1"/>
      <c r="D42" s="1"/>
      <c r="E42" s="1"/>
      <c r="F42" s="1"/>
      <c r="G42" s="75" t="s">
        <v>69</v>
      </c>
      <c r="H42" s="200">
        <f>H40</f>
        <v>77350</v>
      </c>
      <c r="L42" s="1"/>
      <c r="M42" s="94"/>
    </row>
    <row r="43" spans="1:13" ht="17.25" x14ac:dyDescent="0.3">
      <c r="A43" s="1"/>
      <c r="B43" s="1"/>
      <c r="C43" s="1"/>
      <c r="D43" s="1"/>
      <c r="E43" s="1"/>
      <c r="F43" s="1"/>
      <c r="G43" s="1"/>
      <c r="H43" s="1"/>
    </row>
    <row r="44" spans="1:13" ht="17.25" x14ac:dyDescent="0.3">
      <c r="A44" s="78"/>
      <c r="B44" s="78"/>
      <c r="C44" s="78"/>
      <c r="D44" s="78"/>
      <c r="E44" s="78"/>
      <c r="F44" s="78"/>
      <c r="G44" s="78"/>
      <c r="H44" s="78"/>
      <c r="J44" s="5"/>
      <c r="K44" s="5"/>
      <c r="M44" s="1"/>
    </row>
    <row r="45" spans="1:13" ht="18" thickBot="1" x14ac:dyDescent="0.35">
      <c r="L45" s="1"/>
      <c r="M45" s="1"/>
    </row>
    <row r="46" spans="1:13" ht="19.5" thickBot="1" x14ac:dyDescent="0.35">
      <c r="A46" s="209" t="s">
        <v>67</v>
      </c>
      <c r="B46" s="210"/>
      <c r="C46" s="211"/>
      <c r="D46" s="1"/>
      <c r="E46" s="1"/>
      <c r="F46" s="1"/>
      <c r="G46" s="1"/>
      <c r="H46" s="1"/>
      <c r="J46" t="s">
        <v>110</v>
      </c>
      <c r="K46" t="s">
        <v>111</v>
      </c>
      <c r="L46" t="s">
        <v>112</v>
      </c>
      <c r="M46" t="s">
        <v>113</v>
      </c>
    </row>
    <row r="47" spans="1:13" ht="18" thickBot="1" x14ac:dyDescent="0.35">
      <c r="A47" s="143" t="s">
        <v>15</v>
      </c>
      <c r="B47" s="134"/>
      <c r="C47" s="134"/>
      <c r="D47" s="205"/>
      <c r="E47" s="206"/>
      <c r="F47" s="134" t="s">
        <v>70</v>
      </c>
      <c r="G47" s="206" t="s">
        <v>16</v>
      </c>
      <c r="H47" s="207" t="s">
        <v>92</v>
      </c>
      <c r="J47" s="167" t="s">
        <v>102</v>
      </c>
      <c r="K47" s="172">
        <v>20000</v>
      </c>
      <c r="L47" s="93">
        <v>1</v>
      </c>
      <c r="M47" s="169">
        <f t="shared" ref="M47:M54" si="2">K47*L47</f>
        <v>20000</v>
      </c>
    </row>
    <row r="48" spans="1:13" ht="17.25" x14ac:dyDescent="0.3">
      <c r="A48" s="14"/>
      <c r="B48" s="14"/>
      <c r="C48" s="14"/>
      <c r="D48" s="14"/>
      <c r="E48" s="164"/>
      <c r="F48" s="164"/>
      <c r="G48" s="137"/>
      <c r="H48" s="164"/>
      <c r="J48" s="126" t="s">
        <v>103</v>
      </c>
      <c r="K48" s="173">
        <v>3000</v>
      </c>
      <c r="L48">
        <v>4</v>
      </c>
      <c r="M48" s="170">
        <f t="shared" si="2"/>
        <v>12000</v>
      </c>
    </row>
    <row r="49" spans="1:13" ht="17.25" x14ac:dyDescent="0.3">
      <c r="A49" s="1"/>
      <c r="B49" s="61"/>
      <c r="C49" s="4"/>
      <c r="D49" s="1"/>
      <c r="E49" s="60"/>
      <c r="F49" s="60"/>
      <c r="G49" s="3"/>
      <c r="H49" s="60">
        <v>880000</v>
      </c>
      <c r="J49" s="126" t="s">
        <v>104</v>
      </c>
      <c r="K49" s="173">
        <v>5000</v>
      </c>
      <c r="L49">
        <v>2</v>
      </c>
      <c r="M49" s="170">
        <f t="shared" si="2"/>
        <v>10000</v>
      </c>
    </row>
    <row r="50" spans="1:13" ht="17.25" x14ac:dyDescent="0.3">
      <c r="A50" s="1"/>
      <c r="B50" s="61"/>
      <c r="F50" s="60"/>
      <c r="G50" s="3"/>
      <c r="H50" s="60"/>
      <c r="J50" s="126" t="s">
        <v>105</v>
      </c>
      <c r="K50" s="173">
        <v>8000</v>
      </c>
      <c r="L50">
        <v>1</v>
      </c>
      <c r="M50" s="170">
        <f t="shared" si="2"/>
        <v>8000</v>
      </c>
    </row>
    <row r="51" spans="1:13" ht="17.25" x14ac:dyDescent="0.3">
      <c r="A51" s="1"/>
      <c r="J51" s="126" t="s">
        <v>109</v>
      </c>
      <c r="K51" s="173">
        <v>5000</v>
      </c>
      <c r="L51">
        <v>1</v>
      </c>
      <c r="M51" s="170">
        <f t="shared" si="2"/>
        <v>5000</v>
      </c>
    </row>
    <row r="52" spans="1:13" ht="18" thickBot="1" x14ac:dyDescent="0.35">
      <c r="A52" s="1"/>
      <c r="B52" s="1"/>
      <c r="C52" s="1"/>
      <c r="D52" s="1" t="s">
        <v>175</v>
      </c>
      <c r="E52" s="60"/>
      <c r="F52" s="60"/>
      <c r="G52" s="3"/>
      <c r="H52" s="60"/>
      <c r="J52" s="126" t="s">
        <v>106</v>
      </c>
      <c r="K52" s="173">
        <v>2000</v>
      </c>
      <c r="L52">
        <v>1</v>
      </c>
      <c r="M52" s="170">
        <f t="shared" si="2"/>
        <v>2000</v>
      </c>
    </row>
    <row r="53" spans="1:13" ht="18" thickBot="1" x14ac:dyDescent="0.35">
      <c r="A53" s="1"/>
      <c r="B53" s="1"/>
      <c r="C53" s="1"/>
      <c r="D53" s="1"/>
      <c r="E53" s="129"/>
      <c r="F53" s="62" t="s">
        <v>3</v>
      </c>
      <c r="G53" s="63">
        <f>SUM(G48:G51)</f>
        <v>0</v>
      </c>
      <c r="H53" s="98">
        <f>SUM(H48:H52)</f>
        <v>880000</v>
      </c>
      <c r="J53" s="126" t="s">
        <v>107</v>
      </c>
      <c r="K53" s="173">
        <v>7000</v>
      </c>
      <c r="L53">
        <v>1</v>
      </c>
      <c r="M53" s="170">
        <f t="shared" si="2"/>
        <v>7000</v>
      </c>
    </row>
    <row r="54" spans="1:13" ht="15.75" thickBot="1" x14ac:dyDescent="0.3">
      <c r="J54" s="126" t="s">
        <v>108</v>
      </c>
      <c r="K54" s="173">
        <v>15000</v>
      </c>
      <c r="L54">
        <v>1</v>
      </c>
      <c r="M54" s="170">
        <f t="shared" si="2"/>
        <v>15000</v>
      </c>
    </row>
    <row r="55" spans="1:13" ht="19.5" thickBot="1" x14ac:dyDescent="0.35">
      <c r="A55" s="228" t="s">
        <v>37</v>
      </c>
      <c r="B55" s="214"/>
      <c r="C55" s="214"/>
      <c r="D55" s="214"/>
      <c r="E55" s="314">
        <f>H53</f>
        <v>880000</v>
      </c>
      <c r="F55" s="315"/>
      <c r="G55" s="315"/>
      <c r="H55" s="316"/>
      <c r="I55" s="1"/>
      <c r="J55" s="168"/>
      <c r="K55" s="127"/>
      <c r="L55" s="127"/>
      <c r="M55" s="171">
        <f>SUM(M47:M54)</f>
        <v>79000</v>
      </c>
    </row>
    <row r="56" spans="1:13" ht="18.75" x14ac:dyDescent="0.3">
      <c r="A56" s="216" t="s">
        <v>89</v>
      </c>
      <c r="B56" s="215"/>
      <c r="C56" s="215"/>
      <c r="D56" s="215"/>
      <c r="E56" s="317" t="s">
        <v>163</v>
      </c>
      <c r="F56" s="317"/>
      <c r="G56" s="317"/>
      <c r="H56" s="317"/>
    </row>
    <row r="57" spans="1:13" ht="15.75" thickBot="1" x14ac:dyDescent="0.3"/>
    <row r="58" spans="1:13" ht="20.25" thickBot="1" x14ac:dyDescent="0.3">
      <c r="A58" s="227" t="s">
        <v>46</v>
      </c>
      <c r="B58" s="59"/>
      <c r="C58" s="59"/>
      <c r="D58" s="59"/>
      <c r="E58" s="59"/>
      <c r="F58" s="59"/>
      <c r="G58" s="59"/>
      <c r="H58" s="142"/>
    </row>
    <row r="60" spans="1:13" ht="17.25" x14ac:dyDescent="0.25">
      <c r="A60" s="139" t="s">
        <v>23</v>
      </c>
      <c r="B60" s="140"/>
      <c r="C60" s="140"/>
      <c r="D60" s="141"/>
      <c r="E60" s="230">
        <f>IF($E$56="Medium",IF($E$55&gt;Data!D48,IF($E$55&gt;Data!D49,IF($E$55&gt;Data!D50,IF($E$55&gt;Data!D51,IF($E$55&gt;Data!D52,IF($E$55&gt;Data!D53,IF($E$55&gt;Data!D54,IF($E$55&gt;Data!D55,IF($E$55&gt;Data!D56,IF($E$55&gt;Data!D57,IF($E$55&gt;Data!D58,Data!E59,Data!E58),Data!E57),Data!E56),Data!E55),Data!E54),Data!E53),Data!E52),Data!E51),Data!E50),Data!E49),Data!E48),IF($E$56="High",(IF($E$55&gt;Data!D29,IF($E$55&gt;Data!D30,IF($E$55&gt;Data!D31,IF($E$55&gt;Data!D32,IF($E$55&gt;Data!D33,IF($E$55&gt;Data!D34,IF($E$55&gt;Data!D35,IF($E$55&gt;Data!D36,IF($E$55&gt;Data!D37,IF($E$55&gt;Data!D38,IF($E$55&gt;Data!D39,Data!E40,Data!E39),Data!E37),Data!E36),Data!E35),Data!E34),Data!E33),Data!E52),Data!E32),Data!E31),Data!E30),Data!E29)),IF($E$56="Low",(IF($E$55&gt;Data!D67,IF($E$55&gt;Data!D68,IF($E$55&gt;Data!D69,IF($E$55&gt;Data!D70,IF($E$55&gt;Data!D71,IF($E$55&gt;Data!D72,IF($E$55&gt;Data!D73,IF($E$55&gt;Data!D74,IF($E$55&gt;Data!D75,IF($E$55&gt;Data!D76,IF($E$55&gt;Data!D77,Data!E78,Data!E77),Data!E76),Data!E75),Data!E74),Data!E73),Data!E72),Data!E71),Data!E70),Data!E69),Data!E68),Data!E67)))))</f>
        <v>146200.15</v>
      </c>
      <c r="F60" s="144"/>
      <c r="G60" s="144"/>
      <c r="H60" s="145"/>
    </row>
    <row r="61" spans="1:13" ht="17.25" x14ac:dyDescent="0.25">
      <c r="A61" s="149" t="s">
        <v>51</v>
      </c>
      <c r="B61" s="61"/>
      <c r="C61" s="61"/>
      <c r="D61" s="150"/>
      <c r="E61" s="231">
        <f>IF($E$56="Medium",($E$55-(VLOOKUP($E$60,Data!E48:G59,3,FALSE)))*(VLOOKUP($E$60,Data!E48:G59,2,FALSE)),IF($E$56="High",($E$55-(VLOOKUP($E$60,Data!E29:G40,3,FALSE)))*(VLOOKUP($E$60,Data!E29:G40,2,FALSE)),IF($E$56="Low",($E$55-(VLOOKUP($E$60,Data!E66:G78,3,FALSE)))*(VLOOKUP($E$60,Data!E66:G78,2,FALSE)))))</f>
        <v>34200.851300000002</v>
      </c>
      <c r="F61" s="79"/>
      <c r="G61" s="79"/>
      <c r="H61" s="154"/>
    </row>
    <row r="62" spans="1:13" ht="17.25" x14ac:dyDescent="0.25">
      <c r="A62" s="149"/>
      <c r="B62" s="61"/>
      <c r="C62" s="61"/>
      <c r="D62" s="150"/>
      <c r="E62" s="231">
        <f>E60+E61</f>
        <v>180401.0013</v>
      </c>
      <c r="F62" s="79"/>
      <c r="G62" s="79"/>
      <c r="H62" s="154"/>
    </row>
    <row r="63" spans="1:13" ht="17.25" x14ac:dyDescent="0.25">
      <c r="A63" s="149" t="s">
        <v>54</v>
      </c>
      <c r="B63" s="61"/>
      <c r="C63" s="61"/>
      <c r="D63" s="150"/>
      <c r="E63" s="232">
        <v>0</v>
      </c>
      <c r="F63" s="4"/>
      <c r="G63" s="4"/>
      <c r="H63" s="157"/>
    </row>
    <row r="64" spans="1:13" ht="18" x14ac:dyDescent="0.25">
      <c r="A64" s="151" t="s">
        <v>56</v>
      </c>
      <c r="B64" s="152"/>
      <c r="C64" s="152"/>
      <c r="D64" s="153"/>
      <c r="E64" s="233">
        <f>E62+E63</f>
        <v>180401.0013</v>
      </c>
      <c r="F64" s="155"/>
      <c r="G64" s="155"/>
      <c r="H64" s="156"/>
    </row>
    <row r="65" spans="1:11" ht="15.75" thickBot="1" x14ac:dyDescent="0.3"/>
    <row r="66" spans="1:11" ht="19.5" thickBot="1" x14ac:dyDescent="0.35">
      <c r="A66" s="229" t="s">
        <v>38</v>
      </c>
      <c r="B66" s="158"/>
      <c r="C66" s="158"/>
      <c r="D66" s="159"/>
      <c r="E66" s="117" t="s">
        <v>39</v>
      </c>
      <c r="F66" s="117" t="s">
        <v>128</v>
      </c>
      <c r="G66" s="136" t="s">
        <v>68</v>
      </c>
      <c r="H66" s="117" t="s">
        <v>127</v>
      </c>
    </row>
    <row r="67" spans="1:11" ht="17.25" x14ac:dyDescent="0.3">
      <c r="A67" s="84" t="s">
        <v>168</v>
      </c>
      <c r="B67" s="137" t="s">
        <v>172</v>
      </c>
      <c r="C67" s="137"/>
      <c r="D67" s="137"/>
      <c r="E67" s="114">
        <v>0.02</v>
      </c>
      <c r="F67" s="83">
        <f>$E$64*E67</f>
        <v>3608.0200260000001</v>
      </c>
      <c r="G67" s="114">
        <v>0.3</v>
      </c>
      <c r="H67" s="115">
        <f>IF(G67=0,F67,F67-(F67*G67))</f>
        <v>2525.6140181999999</v>
      </c>
    </row>
    <row r="68" spans="1:11" ht="17.25" x14ac:dyDescent="0.3">
      <c r="A68" s="88" t="s">
        <v>167</v>
      </c>
      <c r="B68" s="3" t="s">
        <v>170</v>
      </c>
      <c r="C68" s="3"/>
      <c r="D68" s="3"/>
      <c r="E68" s="257">
        <v>0.15</v>
      </c>
      <c r="F68" s="5">
        <f t="shared" ref="F68:F73" si="3">$E$64*E68</f>
        <v>27060.150194999998</v>
      </c>
      <c r="G68" s="257">
        <v>0.3</v>
      </c>
      <c r="H68" s="87">
        <f t="shared" ref="H68:H73" si="4">IF(G68=0,F68,F68-(F68*G68))</f>
        <v>18942.105136499998</v>
      </c>
    </row>
    <row r="69" spans="1:11" ht="17.25" x14ac:dyDescent="0.3">
      <c r="A69" s="88" t="s">
        <v>166</v>
      </c>
      <c r="B69" s="3" t="s">
        <v>169</v>
      </c>
      <c r="C69" s="3"/>
      <c r="D69" s="3"/>
      <c r="E69" s="257">
        <v>0.2</v>
      </c>
      <c r="F69" s="5">
        <f t="shared" si="3"/>
        <v>36080.200260000005</v>
      </c>
      <c r="G69" s="257">
        <v>0.3</v>
      </c>
      <c r="H69" s="87">
        <f t="shared" si="4"/>
        <v>25256.140182000003</v>
      </c>
      <c r="J69" s="267"/>
    </row>
    <row r="70" spans="1:11" ht="17.25" x14ac:dyDescent="0.3">
      <c r="A70" s="88" t="s">
        <v>47</v>
      </c>
      <c r="B70" s="3" t="s">
        <v>48</v>
      </c>
      <c r="C70" s="3"/>
      <c r="D70" s="3"/>
      <c r="E70" s="257">
        <v>0.1</v>
      </c>
      <c r="F70" s="5">
        <f t="shared" si="3"/>
        <v>18040.100130000003</v>
      </c>
      <c r="G70" s="257">
        <v>0.2</v>
      </c>
      <c r="H70" s="87">
        <f t="shared" si="4"/>
        <v>14432.080104000002</v>
      </c>
      <c r="J70" s="267"/>
    </row>
    <row r="71" spans="1:11" ht="17.25" x14ac:dyDescent="0.3">
      <c r="A71" s="88" t="s">
        <v>59</v>
      </c>
      <c r="B71" s="3" t="s">
        <v>49</v>
      </c>
      <c r="C71" s="3"/>
      <c r="D71" s="3"/>
      <c r="E71" s="257">
        <v>0.2</v>
      </c>
      <c r="F71" s="5">
        <f t="shared" si="3"/>
        <v>36080.200260000005</v>
      </c>
      <c r="G71" s="257">
        <v>0.2</v>
      </c>
      <c r="H71" s="87">
        <f>IF(G71=0,F71,F71-(F71*G71))</f>
        <v>28864.160208000005</v>
      </c>
      <c r="J71" s="267"/>
    </row>
    <row r="72" spans="1:11" ht="17.25" x14ac:dyDescent="0.3">
      <c r="A72" s="88" t="s">
        <v>52</v>
      </c>
      <c r="B72" s="3" t="s">
        <v>171</v>
      </c>
      <c r="C72" s="3"/>
      <c r="D72" s="3"/>
      <c r="E72" s="257">
        <v>0.3</v>
      </c>
      <c r="F72" s="5">
        <f t="shared" si="3"/>
        <v>54120.300389999997</v>
      </c>
      <c r="G72" s="257">
        <v>0</v>
      </c>
      <c r="H72" s="87">
        <f>IF(G72=0,F72,F72-(F72*G72))</f>
        <v>54120.300389999997</v>
      </c>
      <c r="J72" s="267"/>
    </row>
    <row r="73" spans="1:11" ht="18" thickBot="1" x14ac:dyDescent="0.35">
      <c r="A73" s="89" t="s">
        <v>165</v>
      </c>
      <c r="B73" s="138" t="s">
        <v>164</v>
      </c>
      <c r="C73" s="138"/>
      <c r="D73" s="138"/>
      <c r="E73" s="116">
        <v>0.03</v>
      </c>
      <c r="F73" s="85">
        <f t="shared" si="3"/>
        <v>5412.0300390000002</v>
      </c>
      <c r="G73" s="116">
        <v>0</v>
      </c>
      <c r="H73" s="86">
        <f t="shared" si="4"/>
        <v>5412.0300390000002</v>
      </c>
      <c r="J73" s="268"/>
    </row>
    <row r="74" spans="1:11" ht="18" thickBot="1" x14ac:dyDescent="0.35">
      <c r="A74" s="1"/>
      <c r="B74" s="1"/>
      <c r="C74" s="1"/>
      <c r="F74" s="1"/>
      <c r="G74" s="3"/>
      <c r="H74" s="1"/>
    </row>
    <row r="75" spans="1:11" ht="19.5" thickBot="1" x14ac:dyDescent="0.35">
      <c r="A75" s="1"/>
      <c r="B75" s="1"/>
      <c r="C75" s="1"/>
      <c r="E75" s="304" t="s">
        <v>96</v>
      </c>
      <c r="F75" s="305"/>
      <c r="G75" s="306"/>
      <c r="H75" s="122">
        <f>H76*(1-(SUM(H67:H73)/H76))</f>
        <v>30848.571222300008</v>
      </c>
    </row>
    <row r="76" spans="1:11" ht="19.5" thickBot="1" x14ac:dyDescent="0.35">
      <c r="B76" s="118"/>
      <c r="C76" s="118"/>
      <c r="E76" s="304" t="s">
        <v>55</v>
      </c>
      <c r="F76" s="305"/>
      <c r="G76" s="306"/>
      <c r="H76" s="122">
        <f>SUM(F67:F73)</f>
        <v>180401.0013</v>
      </c>
    </row>
    <row r="77" spans="1:11" ht="15.75" thickBot="1" x14ac:dyDescent="0.3"/>
    <row r="78" spans="1:11" ht="18.75" thickBot="1" x14ac:dyDescent="0.3">
      <c r="E78" s="307" t="s">
        <v>124</v>
      </c>
      <c r="F78" s="308"/>
      <c r="G78" s="309"/>
      <c r="H78" s="119">
        <f>H76-H75</f>
        <v>149552.4300777</v>
      </c>
      <c r="J78">
        <v>297</v>
      </c>
      <c r="K78">
        <f>J78*30</f>
        <v>8910</v>
      </c>
    </row>
    <row r="79" spans="1:11" ht="17.25" x14ac:dyDescent="0.3">
      <c r="A79" s="1"/>
      <c r="B79" s="256"/>
      <c r="C79" s="202"/>
      <c r="D79" s="202"/>
      <c r="E79" s="60"/>
      <c r="F79" s="184"/>
      <c r="G79" s="4"/>
      <c r="H79" s="79"/>
    </row>
    <row r="80" spans="1:11" ht="17.25" x14ac:dyDescent="0.3">
      <c r="D80" s="1"/>
      <c r="E80" s="60"/>
      <c r="F80" s="60"/>
      <c r="G80" s="3"/>
      <c r="H80" s="60"/>
      <c r="K80" s="94"/>
    </row>
    <row r="81" spans="4:13" ht="17.25" x14ac:dyDescent="0.3">
      <c r="D81" s="319" t="s">
        <v>173</v>
      </c>
      <c r="E81" s="320"/>
      <c r="F81" s="269">
        <f>COUNT(D86:E91)</f>
        <v>4</v>
      </c>
      <c r="G81" s="259"/>
      <c r="H81" s="260">
        <f>SUM(H72:H73)/F81</f>
        <v>14883.082607249999</v>
      </c>
    </row>
    <row r="82" spans="4:13" ht="17.25" x14ac:dyDescent="0.3">
      <c r="D82" s="1"/>
      <c r="E82" s="1"/>
      <c r="F82" s="1"/>
      <c r="G82" s="1"/>
      <c r="H82" s="1"/>
    </row>
    <row r="83" spans="4:13" ht="17.25" x14ac:dyDescent="0.3">
      <c r="D83" s="319" t="s">
        <v>176</v>
      </c>
      <c r="E83" s="320"/>
      <c r="F83" s="266">
        <f>H83/850</f>
        <v>0.87547544748529404</v>
      </c>
      <c r="G83" s="261"/>
      <c r="H83" s="260">
        <f>H81/20</f>
        <v>744.15413036249993</v>
      </c>
      <c r="M83" s="173"/>
    </row>
    <row r="84" spans="4:13" ht="17.25" x14ac:dyDescent="0.3">
      <c r="D84" s="1"/>
      <c r="E84" s="1"/>
      <c r="F84" s="1"/>
      <c r="G84" s="1"/>
      <c r="H84" s="1"/>
    </row>
    <row r="85" spans="4:13" ht="17.25" x14ac:dyDescent="0.3">
      <c r="D85" s="318" t="s">
        <v>159</v>
      </c>
      <c r="E85" s="313"/>
      <c r="F85" s="313" t="s">
        <v>160</v>
      </c>
      <c r="G85" s="313"/>
      <c r="H85" s="262" t="s">
        <v>161</v>
      </c>
    </row>
    <row r="86" spans="4:13" ht="17.25" x14ac:dyDescent="0.3">
      <c r="D86" s="311">
        <v>1</v>
      </c>
      <c r="E86" s="311"/>
      <c r="F86" s="312">
        <v>2</v>
      </c>
      <c r="G86" s="312"/>
      <c r="H86" s="263">
        <f>$H$81</f>
        <v>14883.082607249999</v>
      </c>
    </row>
    <row r="87" spans="4:13" ht="17.25" x14ac:dyDescent="0.3">
      <c r="D87" s="312">
        <v>2</v>
      </c>
      <c r="E87" s="312"/>
      <c r="F87" s="312">
        <v>2</v>
      </c>
      <c r="G87" s="312"/>
      <c r="H87" s="263">
        <f t="shared" ref="H87:H89" si="5">$H$81</f>
        <v>14883.082607249999</v>
      </c>
    </row>
    <row r="88" spans="4:13" ht="17.25" x14ac:dyDescent="0.3">
      <c r="D88" s="312">
        <v>3</v>
      </c>
      <c r="E88" s="312"/>
      <c r="F88" s="312">
        <v>4</v>
      </c>
      <c r="G88" s="312"/>
      <c r="H88" s="263">
        <f t="shared" si="5"/>
        <v>14883.082607249999</v>
      </c>
    </row>
    <row r="89" spans="4:13" ht="17.25" x14ac:dyDescent="0.3">
      <c r="D89" s="312">
        <v>4</v>
      </c>
      <c r="E89" s="312"/>
      <c r="F89" s="312">
        <v>4</v>
      </c>
      <c r="G89" s="312"/>
      <c r="H89" s="263">
        <f t="shared" si="5"/>
        <v>14883.082607249999</v>
      </c>
    </row>
    <row r="90" spans="4:13" ht="17.25" x14ac:dyDescent="0.3">
      <c r="D90" s="312"/>
      <c r="E90" s="312"/>
      <c r="F90" s="312"/>
      <c r="G90" s="312"/>
      <c r="H90" s="263"/>
    </row>
    <row r="91" spans="4:13" ht="17.25" x14ac:dyDescent="0.3">
      <c r="D91" s="312"/>
      <c r="E91" s="312"/>
      <c r="F91" s="312"/>
      <c r="G91" s="312"/>
      <c r="H91" s="263"/>
    </row>
    <row r="92" spans="4:13" ht="17.25" x14ac:dyDescent="0.3">
      <c r="D92" s="312"/>
      <c r="E92" s="312"/>
      <c r="F92" s="312"/>
      <c r="G92" s="312"/>
      <c r="H92" s="263"/>
    </row>
    <row r="94" spans="4:13" ht="22.5" customHeight="1" x14ac:dyDescent="0.3">
      <c r="D94" s="318" t="s">
        <v>174</v>
      </c>
      <c r="E94" s="313"/>
      <c r="F94" s="313"/>
      <c r="G94" s="313"/>
      <c r="H94" s="260">
        <f>SUM(H86:H91)</f>
        <v>59532.330428999994</v>
      </c>
    </row>
    <row r="95" spans="4:13" ht="17.25" x14ac:dyDescent="0.3">
      <c r="D95" s="3"/>
      <c r="E95" s="1"/>
      <c r="F95" s="1"/>
      <c r="G95" s="3"/>
      <c r="H95" s="263"/>
    </row>
    <row r="96" spans="4:13" ht="17.25" x14ac:dyDescent="0.3">
      <c r="D96" s="264" t="s">
        <v>162</v>
      </c>
      <c r="E96" s="259"/>
      <c r="F96" s="259"/>
      <c r="G96" s="259"/>
      <c r="H96" s="265">
        <f>SUM(F86:F89)</f>
        <v>12</v>
      </c>
      <c r="J96" s="258"/>
      <c r="L96" s="173"/>
    </row>
    <row r="97" spans="4:14" x14ac:dyDescent="0.25">
      <c r="L97" s="258"/>
      <c r="M97" s="173"/>
    </row>
    <row r="99" spans="4:14" x14ac:dyDescent="0.25">
      <c r="M99" s="94"/>
    </row>
    <row r="102" spans="4:14" x14ac:dyDescent="0.25">
      <c r="N102" s="173"/>
    </row>
    <row r="105" spans="4:14" x14ac:dyDescent="0.25">
      <c r="K105" s="121"/>
    </row>
    <row r="106" spans="4:14" x14ac:dyDescent="0.25">
      <c r="K106" s="120"/>
    </row>
    <row r="107" spans="4:14" x14ac:dyDescent="0.25">
      <c r="D107" s="310"/>
      <c r="E107" s="310"/>
    </row>
    <row r="108" spans="4:14" x14ac:dyDescent="0.25">
      <c r="D108" s="310"/>
      <c r="E108" s="310"/>
    </row>
    <row r="109" spans="4:14" x14ac:dyDescent="0.25">
      <c r="D109" s="310"/>
      <c r="E109" s="310"/>
    </row>
  </sheetData>
  <mergeCells count="39">
    <mergeCell ref="J15:L15"/>
    <mergeCell ref="J19:L19"/>
    <mergeCell ref="B16:C16"/>
    <mergeCell ref="A11:H11"/>
    <mergeCell ref="A13:C13"/>
    <mergeCell ref="A14:C14"/>
    <mergeCell ref="A17:B17"/>
    <mergeCell ref="A19:B19"/>
    <mergeCell ref="A15:B15"/>
    <mergeCell ref="A18:B18"/>
    <mergeCell ref="D109:E109"/>
    <mergeCell ref="D107:E107"/>
    <mergeCell ref="E75:G75"/>
    <mergeCell ref="E55:H55"/>
    <mergeCell ref="E56:H56"/>
    <mergeCell ref="F85:G85"/>
    <mergeCell ref="F86:G86"/>
    <mergeCell ref="F87:G87"/>
    <mergeCell ref="F88:G88"/>
    <mergeCell ref="F89:G89"/>
    <mergeCell ref="F90:G90"/>
    <mergeCell ref="F91:G91"/>
    <mergeCell ref="D94:E94"/>
    <mergeCell ref="D85:E85"/>
    <mergeCell ref="D83:E83"/>
    <mergeCell ref="D81:E81"/>
    <mergeCell ref="A22:B22"/>
    <mergeCell ref="E76:G76"/>
    <mergeCell ref="E78:G78"/>
    <mergeCell ref="D108:E108"/>
    <mergeCell ref="D86:E86"/>
    <mergeCell ref="D87:E87"/>
    <mergeCell ref="D88:E88"/>
    <mergeCell ref="D89:E89"/>
    <mergeCell ref="D90:E90"/>
    <mergeCell ref="D91:E91"/>
    <mergeCell ref="F94:G94"/>
    <mergeCell ref="D92:E92"/>
    <mergeCell ref="F92:G92"/>
  </mergeCells>
  <phoneticPr fontId="25" type="noConversion"/>
  <dataValidations count="2">
    <dataValidation type="list" allowBlank="1" showInputMessage="1" showErrorMessage="1" sqref="E56" xr:uid="{ECF54CF7-43CA-4261-8A26-6CBCF5480061}">
      <formula1>"Low,Medium,High"</formula1>
    </dataValidation>
    <dataValidation type="list" allowBlank="1" showInputMessage="1" showErrorMessage="1" sqref="D34:D38 D16:D23" xr:uid="{2BB1E22E-ADAA-4776-ABC7-D83DC0E96954}">
      <formula1>"Dewald, Hannes, Johan"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76968-433F-4465-8709-15CE964315B7}">
  <dimension ref="A1:L115"/>
  <sheetViews>
    <sheetView tabSelected="1" topLeftCell="A63" zoomScaleNormal="100" workbookViewId="0">
      <selection activeCell="H53" sqref="H53"/>
    </sheetView>
  </sheetViews>
  <sheetFormatPr defaultRowHeight="15" x14ac:dyDescent="0.25"/>
  <cols>
    <col min="1" max="1" width="37.140625" bestFit="1" customWidth="1"/>
    <col min="2" max="2" width="17.85546875" customWidth="1"/>
    <col min="4" max="4" width="20.7109375" bestFit="1" customWidth="1"/>
    <col min="5" max="5" width="16.5703125" bestFit="1" customWidth="1"/>
    <col min="6" max="6" width="17.85546875" bestFit="1" customWidth="1"/>
    <col min="7" max="7" width="11.85546875" bestFit="1" customWidth="1"/>
    <col min="8" max="8" width="26" bestFit="1" customWidth="1"/>
    <col min="10" max="10" width="30" customWidth="1"/>
    <col min="11" max="11" width="68.28515625" bestFit="1" customWidth="1"/>
    <col min="12" max="12" width="16.42578125" customWidth="1"/>
  </cols>
  <sheetData>
    <row r="1" spans="1:11" ht="17.25" x14ac:dyDescent="0.3">
      <c r="A1" s="221"/>
      <c r="B1" s="221"/>
      <c r="C1" s="221"/>
      <c r="D1" s="221"/>
      <c r="E1" s="221"/>
      <c r="F1" s="221"/>
      <c r="G1" s="221"/>
      <c r="H1" s="221"/>
      <c r="I1" s="1"/>
      <c r="K1" s="1"/>
    </row>
    <row r="2" spans="1:11" ht="17.25" x14ac:dyDescent="0.3">
      <c r="A2" s="221"/>
      <c r="B2" s="221"/>
      <c r="C2" s="221"/>
      <c r="D2" s="221"/>
      <c r="E2" s="221"/>
      <c r="F2" s="221"/>
      <c r="G2" s="221"/>
      <c r="H2" s="221"/>
      <c r="I2" s="2"/>
    </row>
    <row r="3" spans="1:11" ht="17.25" x14ac:dyDescent="0.3">
      <c r="A3" s="221"/>
      <c r="B3" s="221"/>
      <c r="C3" s="221"/>
      <c r="D3" s="221"/>
      <c r="E3" s="221"/>
      <c r="F3" s="221"/>
      <c r="G3" s="221"/>
      <c r="H3" s="221"/>
      <c r="I3" s="2"/>
    </row>
    <row r="4" spans="1:11" ht="17.25" x14ac:dyDescent="0.3">
      <c r="A4" s="221"/>
      <c r="B4" s="221"/>
      <c r="C4" s="221"/>
      <c r="D4" s="221"/>
      <c r="E4" s="221"/>
      <c r="F4" s="221"/>
      <c r="G4" s="221"/>
      <c r="H4" s="221"/>
      <c r="I4" s="2"/>
    </row>
    <row r="5" spans="1:11" ht="17.25" x14ac:dyDescent="0.3">
      <c r="A5" s="221"/>
      <c r="B5" s="221"/>
      <c r="C5" s="221"/>
      <c r="D5" s="221"/>
      <c r="E5" s="221"/>
      <c r="F5" s="221"/>
      <c r="G5" s="221"/>
      <c r="H5" s="221"/>
      <c r="I5" s="2"/>
    </row>
    <row r="6" spans="1:11" ht="17.25" x14ac:dyDescent="0.3">
      <c r="A6" s="221"/>
      <c r="B6" s="221"/>
      <c r="C6" s="221"/>
      <c r="D6" s="221"/>
      <c r="E6" s="221"/>
      <c r="F6" s="221"/>
      <c r="G6" s="221"/>
      <c r="H6" s="221"/>
      <c r="I6" s="1"/>
    </row>
    <row r="7" spans="1:11" ht="17.25" x14ac:dyDescent="0.3">
      <c r="A7" s="221"/>
      <c r="B7" s="221"/>
      <c r="C7" s="221"/>
      <c r="D7" s="221"/>
      <c r="E7" s="221"/>
      <c r="F7" s="221"/>
      <c r="G7" s="221"/>
      <c r="H7" s="221"/>
      <c r="I7" s="2"/>
    </row>
    <row r="8" spans="1:11" ht="17.25" x14ac:dyDescent="0.3">
      <c r="A8" s="221"/>
      <c r="B8" s="221"/>
      <c r="C8" s="221"/>
      <c r="D8" s="221"/>
      <c r="E8" s="221"/>
      <c r="F8" s="221"/>
      <c r="G8" s="221"/>
      <c r="H8" s="221"/>
      <c r="I8" s="2"/>
    </row>
    <row r="9" spans="1:11" ht="17.25" x14ac:dyDescent="0.3">
      <c r="A9" s="221"/>
      <c r="B9" s="221"/>
      <c r="C9" s="221"/>
      <c r="D9" s="221"/>
      <c r="E9" s="221"/>
      <c r="F9" s="221"/>
      <c r="G9" s="221"/>
      <c r="H9" s="221"/>
      <c r="I9" s="1"/>
    </row>
    <row r="10" spans="1:11" ht="18" thickBot="1" x14ac:dyDescent="0.35">
      <c r="A10" s="221"/>
      <c r="B10" s="221"/>
      <c r="C10" s="221"/>
      <c r="D10" s="221"/>
      <c r="E10" s="221"/>
      <c r="F10" s="221"/>
      <c r="G10" s="221"/>
      <c r="H10" s="221"/>
      <c r="I10" s="2"/>
    </row>
    <row r="11" spans="1:11" ht="21" thickBot="1" x14ac:dyDescent="0.35">
      <c r="A11" s="328" t="s">
        <v>14</v>
      </c>
      <c r="B11" s="329"/>
      <c r="C11" s="329"/>
      <c r="D11" s="329"/>
      <c r="E11" s="329"/>
      <c r="F11" s="329"/>
      <c r="G11" s="329"/>
      <c r="H11" s="330"/>
      <c r="I11" s="1"/>
    </row>
    <row r="12" spans="1:11" ht="18" thickBot="1" x14ac:dyDescent="0.35">
      <c r="A12" s="69"/>
      <c r="B12" s="69"/>
      <c r="C12" s="69"/>
      <c r="D12" s="69"/>
      <c r="E12" s="69"/>
      <c r="F12" s="69"/>
      <c r="G12" s="69"/>
      <c r="H12" s="69"/>
    </row>
    <row r="13" spans="1:11" ht="18.75" x14ac:dyDescent="0.3">
      <c r="A13" s="331" t="s">
        <v>65</v>
      </c>
      <c r="B13" s="332"/>
      <c r="C13" s="333"/>
      <c r="D13" s="1"/>
      <c r="E13" s="4" t="s">
        <v>66</v>
      </c>
      <c r="F13" s="1"/>
      <c r="G13" s="1"/>
      <c r="H13" s="1"/>
      <c r="J13" s="337" t="s">
        <v>192</v>
      </c>
      <c r="K13" s="338"/>
    </row>
    <row r="14" spans="1:11" ht="18" thickBot="1" x14ac:dyDescent="0.35">
      <c r="A14" s="334" t="s">
        <v>61</v>
      </c>
      <c r="B14" s="311"/>
      <c r="C14" s="311"/>
      <c r="D14" s="57" t="s">
        <v>63</v>
      </c>
      <c r="E14" s="57" t="s">
        <v>64</v>
      </c>
      <c r="F14" s="57" t="s">
        <v>62</v>
      </c>
      <c r="G14" s="72" t="s">
        <v>18</v>
      </c>
      <c r="H14" s="57"/>
      <c r="I14" s="1"/>
      <c r="J14" s="277" t="s">
        <v>95</v>
      </c>
      <c r="K14" s="278">
        <f>H27</f>
        <v>15475</v>
      </c>
    </row>
    <row r="15" spans="1:11" ht="18" thickBot="1" x14ac:dyDescent="0.35">
      <c r="A15" s="335" t="s">
        <v>81</v>
      </c>
      <c r="B15" s="336"/>
      <c r="C15" s="71"/>
      <c r="D15" s="71"/>
      <c r="E15" s="71"/>
      <c r="F15" s="76">
        <f>SUM(F16:F30)</f>
        <v>27</v>
      </c>
      <c r="G15" s="270">
        <f>SUM(G16:G22)</f>
        <v>2</v>
      </c>
      <c r="H15" s="201">
        <f>SUM(H16:H22)</f>
        <v>15475</v>
      </c>
      <c r="I15" s="1"/>
      <c r="J15" s="283" t="s">
        <v>184</v>
      </c>
      <c r="K15" s="279">
        <f>SUM(H22:H22)</f>
        <v>0</v>
      </c>
    </row>
    <row r="16" spans="1:11" ht="17.25" x14ac:dyDescent="0.3">
      <c r="A16" s="196"/>
      <c r="B16" s="271"/>
      <c r="C16" s="271"/>
      <c r="D16" s="60"/>
      <c r="E16" s="60"/>
      <c r="F16" s="3">
        <v>0</v>
      </c>
      <c r="G16" s="197">
        <f>F16/8</f>
        <v>0</v>
      </c>
      <c r="H16" s="199">
        <f>F16*E16</f>
        <v>0</v>
      </c>
      <c r="I16" s="1"/>
      <c r="J16" s="285" t="s">
        <v>186</v>
      </c>
      <c r="K16" s="260">
        <f>K14-K15</f>
        <v>15475</v>
      </c>
    </row>
    <row r="17" spans="1:11" ht="17.25" x14ac:dyDescent="0.3">
      <c r="A17" s="1" t="s">
        <v>202</v>
      </c>
      <c r="D17" s="60" t="s">
        <v>2</v>
      </c>
      <c r="E17" s="60">
        <v>625</v>
      </c>
      <c r="F17" s="3">
        <v>16</v>
      </c>
      <c r="G17" s="197">
        <f>F17/8</f>
        <v>2</v>
      </c>
      <c r="H17" s="199">
        <f>F17*E17</f>
        <v>10000</v>
      </c>
      <c r="I17" s="1"/>
    </row>
    <row r="18" spans="1:11" ht="17.25" x14ac:dyDescent="0.3">
      <c r="A18" s="1" t="s">
        <v>203</v>
      </c>
      <c r="D18" s="60" t="s">
        <v>205</v>
      </c>
      <c r="E18" s="60">
        <v>450</v>
      </c>
      <c r="F18" s="3">
        <v>8</v>
      </c>
      <c r="G18" s="197"/>
      <c r="H18" s="199">
        <f>F18*E18</f>
        <v>3600</v>
      </c>
      <c r="I18" s="1"/>
      <c r="J18" s="339" t="s">
        <v>189</v>
      </c>
      <c r="K18" s="340"/>
    </row>
    <row r="19" spans="1:11" ht="17.25" x14ac:dyDescent="0.3">
      <c r="A19" s="1" t="s">
        <v>204</v>
      </c>
      <c r="B19" s="1"/>
      <c r="C19" s="1"/>
      <c r="D19" s="60" t="s">
        <v>2</v>
      </c>
      <c r="E19" s="60">
        <v>625</v>
      </c>
      <c r="F19" s="3">
        <v>3</v>
      </c>
      <c r="G19" s="197"/>
      <c r="H19" s="199">
        <f>F19*E19</f>
        <v>1875</v>
      </c>
      <c r="I19" s="1"/>
      <c r="J19" s="283" t="s">
        <v>187</v>
      </c>
      <c r="K19" s="284">
        <f>K16*0.7</f>
        <v>10832.5</v>
      </c>
    </row>
    <row r="20" spans="1:11" ht="17.25" x14ac:dyDescent="0.3">
      <c r="I20" s="1"/>
    </row>
    <row r="21" spans="1:11" ht="17.25" x14ac:dyDescent="0.3">
      <c r="A21" s="196"/>
      <c r="D21" s="60"/>
      <c r="E21" s="60"/>
      <c r="F21" s="3"/>
      <c r="G21" s="197"/>
      <c r="H21" s="199"/>
      <c r="I21" s="1"/>
      <c r="J21" s="339" t="s">
        <v>190</v>
      </c>
      <c r="K21" s="340"/>
    </row>
    <row r="22" spans="1:11" ht="17.25" x14ac:dyDescent="0.3">
      <c r="A22" s="303"/>
      <c r="B22" s="303"/>
      <c r="D22" s="276"/>
      <c r="E22" s="60"/>
      <c r="F22" s="3"/>
      <c r="G22" s="197"/>
      <c r="H22" s="199"/>
      <c r="I22" s="1"/>
      <c r="J22" s="277" t="s">
        <v>188</v>
      </c>
      <c r="K22" s="278">
        <f>K16-K19</f>
        <v>4642.5</v>
      </c>
    </row>
    <row r="23" spans="1:11" ht="17.25" x14ac:dyDescent="0.3">
      <c r="I23" s="1"/>
      <c r="J23" s="281" t="s">
        <v>185</v>
      </c>
      <c r="K23" s="282">
        <f>K15*0.5</f>
        <v>0</v>
      </c>
    </row>
    <row r="24" spans="1:11" ht="17.25" x14ac:dyDescent="0.3">
      <c r="I24" s="1"/>
      <c r="J24" s="238"/>
      <c r="K24" s="280">
        <f>K22+K23</f>
        <v>4642.5</v>
      </c>
    </row>
    <row r="25" spans="1:11" ht="18" x14ac:dyDescent="0.3">
      <c r="A25" s="73"/>
      <c r="B25" s="73"/>
      <c r="D25" s="92"/>
      <c r="F25" s="92" t="s">
        <v>80</v>
      </c>
      <c r="G25" s="73"/>
      <c r="H25" s="198">
        <f>H15</f>
        <v>15475</v>
      </c>
      <c r="I25" s="1"/>
    </row>
    <row r="26" spans="1:11" ht="18.75" thickBot="1" x14ac:dyDescent="0.35">
      <c r="A26" s="73"/>
      <c r="B26" s="73"/>
      <c r="C26" s="73"/>
      <c r="F26" s="92" t="s">
        <v>79</v>
      </c>
      <c r="G26" s="74">
        <v>0</v>
      </c>
      <c r="H26" s="198">
        <f>H25*G26</f>
        <v>0</v>
      </c>
      <c r="I26" s="1"/>
      <c r="J26" s="339" t="s">
        <v>191</v>
      </c>
      <c r="K26" s="340"/>
    </row>
    <row r="27" spans="1:11" ht="19.5" thickBot="1" x14ac:dyDescent="0.35">
      <c r="A27" s="1"/>
      <c r="B27" s="1"/>
      <c r="C27" s="1"/>
      <c r="D27" s="1"/>
      <c r="F27" s="147" t="s">
        <v>69</v>
      </c>
      <c r="G27" s="148"/>
      <c r="H27" s="200">
        <f>(H25-H26)</f>
        <v>15475</v>
      </c>
      <c r="I27" s="1"/>
      <c r="J27" s="277" t="s">
        <v>95</v>
      </c>
      <c r="K27" s="278">
        <f>K14</f>
        <v>15475</v>
      </c>
    </row>
    <row r="28" spans="1:11" ht="17.25" x14ac:dyDescent="0.3">
      <c r="A28" s="1"/>
      <c r="B28" s="1"/>
      <c r="C28" s="1"/>
      <c r="D28" s="1"/>
      <c r="E28" s="1"/>
      <c r="F28" s="1"/>
      <c r="G28" s="1"/>
      <c r="H28" s="1"/>
      <c r="I28" s="1"/>
      <c r="J28" s="193" t="s">
        <v>194</v>
      </c>
      <c r="K28" s="279">
        <f>K19+K24</f>
        <v>15475</v>
      </c>
    </row>
    <row r="29" spans="1:11" ht="17.25" x14ac:dyDescent="0.3">
      <c r="A29" s="78"/>
      <c r="B29" s="78"/>
      <c r="C29" s="78"/>
      <c r="D29" s="78"/>
      <c r="E29" s="78"/>
      <c r="F29" s="78"/>
      <c r="G29" s="78"/>
      <c r="H29" s="78"/>
      <c r="I29" s="1"/>
      <c r="J29" s="264" t="s">
        <v>193</v>
      </c>
      <c r="K29" s="280">
        <f>K27-K28</f>
        <v>0</v>
      </c>
    </row>
    <row r="30" spans="1:11" ht="18" thickBot="1" x14ac:dyDescent="0.35">
      <c r="H30" s="173"/>
      <c r="I30" s="1"/>
    </row>
    <row r="31" spans="1:11" ht="19.5" thickBot="1" x14ac:dyDescent="0.35">
      <c r="A31" s="208" t="s">
        <v>71</v>
      </c>
      <c r="B31" s="160"/>
      <c r="C31" s="161"/>
      <c r="D31" s="1"/>
      <c r="E31" s="3"/>
      <c r="F31" s="1"/>
      <c r="G31" s="1"/>
      <c r="H31" s="1"/>
      <c r="I31" s="1"/>
      <c r="J31" s="1"/>
      <c r="K31" s="94"/>
    </row>
    <row r="32" spans="1:11" ht="18" thickBot="1" x14ac:dyDescent="0.35">
      <c r="A32" s="143" t="s">
        <v>61</v>
      </c>
      <c r="B32" s="134"/>
      <c r="C32" s="134"/>
      <c r="D32" s="134"/>
      <c r="E32" s="134"/>
      <c r="F32" s="134"/>
      <c r="G32" s="213"/>
      <c r="H32" s="135"/>
      <c r="J32" s="321" t="s">
        <v>75</v>
      </c>
      <c r="K32" s="322"/>
    </row>
    <row r="33" spans="1:11" ht="18" thickBot="1" x14ac:dyDescent="0.35">
      <c r="I33" s="1"/>
    </row>
    <row r="34" spans="1:11" ht="18" thickBot="1" x14ac:dyDescent="0.35">
      <c r="A34" s="162" t="s">
        <v>81</v>
      </c>
      <c r="B34" s="163"/>
      <c r="C34" s="71"/>
      <c r="D34" s="134" t="s">
        <v>63</v>
      </c>
      <c r="E34" s="134" t="s">
        <v>70</v>
      </c>
      <c r="F34" s="134" t="s">
        <v>72</v>
      </c>
      <c r="G34" s="212"/>
      <c r="H34" s="201">
        <f>SUM(H36:H43)</f>
        <v>42075</v>
      </c>
      <c r="I34" s="1"/>
      <c r="J34" s="272" t="s">
        <v>78</v>
      </c>
      <c r="K34" s="273"/>
    </row>
    <row r="35" spans="1:11" ht="17.25" x14ac:dyDescent="0.3">
      <c r="A35" s="291"/>
      <c r="B35" s="291"/>
      <c r="C35" s="292"/>
      <c r="D35" s="293"/>
      <c r="E35" s="293"/>
      <c r="F35" s="293"/>
      <c r="G35" s="294"/>
      <c r="H35" s="295"/>
      <c r="I35" s="1"/>
      <c r="J35" s="296"/>
      <c r="K35" s="296"/>
    </row>
    <row r="36" spans="1:11" ht="18" thickBot="1" x14ac:dyDescent="0.35">
      <c r="A36" s="1" t="s">
        <v>206</v>
      </c>
      <c r="E36" s="129">
        <v>50</v>
      </c>
      <c r="F36" s="1">
        <v>63</v>
      </c>
      <c r="H36" s="199">
        <f t="shared" ref="H36:H38" si="0">F36*E36</f>
        <v>3150</v>
      </c>
      <c r="I36" s="1"/>
    </row>
    <row r="37" spans="1:11" ht="18" thickBot="1" x14ac:dyDescent="0.35">
      <c r="A37" s="1" t="s">
        <v>207</v>
      </c>
      <c r="D37" s="60"/>
      <c r="E37" s="129">
        <v>25</v>
      </c>
      <c r="F37" s="1">
        <v>745</v>
      </c>
      <c r="H37" s="199">
        <f t="shared" si="0"/>
        <v>18625</v>
      </c>
      <c r="J37" s="105" t="s">
        <v>95</v>
      </c>
      <c r="K37" s="107" t="s">
        <v>88</v>
      </c>
    </row>
    <row r="38" spans="1:11" ht="17.25" x14ac:dyDescent="0.3">
      <c r="A38" s="1" t="s">
        <v>208</v>
      </c>
      <c r="D38" s="60"/>
      <c r="E38" s="129">
        <v>100</v>
      </c>
      <c r="F38" s="1">
        <v>203</v>
      </c>
      <c r="H38" s="199">
        <f t="shared" si="0"/>
        <v>20300</v>
      </c>
      <c r="J38" s="111">
        <f>H27</f>
        <v>15475</v>
      </c>
      <c r="K38" s="60">
        <f>J38*0.05</f>
        <v>773.75</v>
      </c>
    </row>
    <row r="39" spans="1:11" ht="18" thickBot="1" x14ac:dyDescent="0.35">
      <c r="A39" s="196" t="s">
        <v>209</v>
      </c>
      <c r="D39" s="60"/>
      <c r="E39" s="129"/>
      <c r="F39" s="1"/>
      <c r="H39" s="199"/>
    </row>
    <row r="40" spans="1:11" ht="18" thickBot="1" x14ac:dyDescent="0.35">
      <c r="A40" s="196"/>
      <c r="D40" s="60"/>
      <c r="E40" s="129"/>
      <c r="F40" s="1"/>
      <c r="H40" s="199"/>
      <c r="J40" s="104" t="s">
        <v>85</v>
      </c>
      <c r="K40" s="95"/>
    </row>
    <row r="41" spans="1:11" ht="15.75" thickBot="1" x14ac:dyDescent="0.3"/>
    <row r="42" spans="1:11" ht="18" thickBot="1" x14ac:dyDescent="0.35">
      <c r="A42" s="303"/>
      <c r="B42" s="303"/>
      <c r="H42" s="199"/>
      <c r="J42" s="103" t="s">
        <v>87</v>
      </c>
      <c r="K42" s="95"/>
    </row>
    <row r="44" spans="1:11" ht="18" x14ac:dyDescent="0.25">
      <c r="A44" s="73"/>
      <c r="C44" s="73"/>
      <c r="D44" s="73"/>
      <c r="F44" s="92" t="s">
        <v>123</v>
      </c>
      <c r="G44" s="73"/>
      <c r="H44" s="198">
        <f>H34</f>
        <v>42075</v>
      </c>
      <c r="J44" s="173"/>
    </row>
    <row r="45" spans="1:11" ht="18.75" thickBot="1" x14ac:dyDescent="0.3">
      <c r="A45" s="73"/>
      <c r="B45" s="73"/>
      <c r="C45" s="73"/>
      <c r="E45" s="146"/>
      <c r="F45" s="92" t="s">
        <v>79</v>
      </c>
      <c r="G45" s="74">
        <v>0</v>
      </c>
      <c r="H45" s="4"/>
      <c r="J45" s="173"/>
    </row>
    <row r="46" spans="1:11" ht="19.5" thickBot="1" x14ac:dyDescent="0.35">
      <c r="A46" s="1"/>
      <c r="B46" s="1"/>
      <c r="C46" s="1"/>
      <c r="D46" s="1"/>
      <c r="E46" s="1"/>
      <c r="F46" s="1"/>
      <c r="G46" s="75" t="s">
        <v>69</v>
      </c>
      <c r="H46" s="200">
        <f>H44</f>
        <v>42075</v>
      </c>
    </row>
    <row r="47" spans="1:11" ht="17.25" x14ac:dyDescent="0.3">
      <c r="A47" s="1"/>
      <c r="B47" s="1"/>
      <c r="C47" s="1"/>
      <c r="D47" s="1"/>
      <c r="E47" s="1"/>
      <c r="F47" s="1"/>
      <c r="G47" s="1"/>
      <c r="H47" s="1"/>
    </row>
    <row r="48" spans="1:11" ht="17.25" x14ac:dyDescent="0.3">
      <c r="A48" s="78"/>
      <c r="B48" s="78"/>
      <c r="C48" s="78"/>
      <c r="D48" s="78"/>
      <c r="E48" s="78"/>
      <c r="F48" s="78"/>
      <c r="G48" s="78"/>
      <c r="H48" s="78"/>
      <c r="J48" s="5"/>
      <c r="K48" s="5"/>
    </row>
    <row r="49" spans="1:12" ht="15.75" thickBot="1" x14ac:dyDescent="0.3"/>
    <row r="50" spans="1:12" ht="19.5" thickBot="1" x14ac:dyDescent="0.35">
      <c r="A50" s="209" t="s">
        <v>67</v>
      </c>
      <c r="B50" s="210"/>
      <c r="C50" s="211"/>
      <c r="D50" s="1"/>
      <c r="E50" s="1"/>
      <c r="F50" s="1"/>
      <c r="G50" s="1"/>
      <c r="H50" s="1"/>
    </row>
    <row r="51" spans="1:12" ht="18" thickBot="1" x14ac:dyDescent="0.35">
      <c r="A51" s="143" t="s">
        <v>15</v>
      </c>
      <c r="B51" s="134"/>
      <c r="C51" s="134"/>
      <c r="D51" s="205"/>
      <c r="E51" s="206"/>
      <c r="F51" s="134" t="s">
        <v>70</v>
      </c>
      <c r="G51" s="206" t="s">
        <v>16</v>
      </c>
      <c r="H51" s="207" t="s">
        <v>92</v>
      </c>
    </row>
    <row r="52" spans="1:12" ht="19.5" thickBot="1" x14ac:dyDescent="0.35">
      <c r="A52" s="14"/>
      <c r="B52" s="14"/>
      <c r="C52" s="14"/>
      <c r="D52" s="14"/>
      <c r="E52" s="164"/>
      <c r="F52" s="164"/>
      <c r="G52" s="137"/>
      <c r="H52" s="164"/>
      <c r="K52" s="289" t="s">
        <v>200</v>
      </c>
      <c r="L52" s="207" t="s">
        <v>92</v>
      </c>
    </row>
    <row r="53" spans="1:12" ht="17.25" x14ac:dyDescent="0.3">
      <c r="A53" s="1"/>
      <c r="B53" s="61"/>
      <c r="C53" s="4"/>
      <c r="D53" s="1"/>
      <c r="E53" s="60"/>
      <c r="F53" s="286"/>
      <c r="G53" s="3"/>
      <c r="H53" s="60">
        <v>3600000</v>
      </c>
      <c r="K53" s="77" t="s">
        <v>195</v>
      </c>
      <c r="L53" s="287">
        <v>250000</v>
      </c>
    </row>
    <row r="54" spans="1:12" ht="17.25" x14ac:dyDescent="0.3">
      <c r="A54" s="1"/>
      <c r="B54" s="61"/>
      <c r="F54" s="286"/>
      <c r="G54" s="3"/>
      <c r="H54" s="60"/>
      <c r="K54" s="77" t="s">
        <v>196</v>
      </c>
      <c r="L54" s="287">
        <v>167500</v>
      </c>
    </row>
    <row r="55" spans="1:12" ht="17.25" x14ac:dyDescent="0.3">
      <c r="A55" s="1"/>
      <c r="F55" s="286"/>
      <c r="H55" s="60"/>
      <c r="K55" s="77" t="s">
        <v>197</v>
      </c>
      <c r="L55" s="287">
        <v>250000</v>
      </c>
    </row>
    <row r="56" spans="1:12" ht="17.25" x14ac:dyDescent="0.3">
      <c r="A56" s="1"/>
      <c r="F56" s="286"/>
      <c r="G56" s="3"/>
      <c r="H56" s="60"/>
      <c r="K56" s="77" t="s">
        <v>199</v>
      </c>
      <c r="L56" s="287">
        <v>270000</v>
      </c>
    </row>
    <row r="57" spans="1:12" ht="17.25" x14ac:dyDescent="0.3">
      <c r="A57" s="1"/>
      <c r="F57" s="286"/>
      <c r="H57" s="60"/>
      <c r="K57" s="193" t="s">
        <v>198</v>
      </c>
      <c r="L57" s="288">
        <v>50000</v>
      </c>
    </row>
    <row r="58" spans="1:12" ht="18" thickBot="1" x14ac:dyDescent="0.35">
      <c r="A58" s="1"/>
      <c r="B58" s="1"/>
      <c r="C58" s="1"/>
      <c r="D58" s="1" t="s">
        <v>175</v>
      </c>
      <c r="E58" s="60"/>
      <c r="F58" s="60"/>
      <c r="G58" s="3"/>
      <c r="H58" s="60"/>
      <c r="L58" s="173"/>
    </row>
    <row r="59" spans="1:12" ht="19.5" thickBot="1" x14ac:dyDescent="0.35">
      <c r="A59" s="1"/>
      <c r="B59" s="1"/>
      <c r="C59" s="1"/>
      <c r="D59" s="1"/>
      <c r="E59" s="129"/>
      <c r="F59" s="62" t="s">
        <v>3</v>
      </c>
      <c r="G59" s="63">
        <f>SUM(G52:G55)</f>
        <v>0</v>
      </c>
      <c r="H59" s="98">
        <f>SUM(H52:H58)</f>
        <v>3600000</v>
      </c>
      <c r="K59" s="289" t="s">
        <v>201</v>
      </c>
      <c r="L59" s="290">
        <v>987500</v>
      </c>
    </row>
    <row r="60" spans="1:12" ht="15.75" thickBot="1" x14ac:dyDescent="0.3"/>
    <row r="61" spans="1:12" ht="19.5" thickBot="1" x14ac:dyDescent="0.35">
      <c r="A61" s="228" t="s">
        <v>37</v>
      </c>
      <c r="B61" s="214"/>
      <c r="C61" s="214"/>
      <c r="D61" s="214"/>
      <c r="E61" s="314">
        <f>H59</f>
        <v>3600000</v>
      </c>
      <c r="F61" s="315"/>
      <c r="G61" s="315"/>
      <c r="H61" s="316"/>
      <c r="I61" s="1"/>
    </row>
    <row r="62" spans="1:12" ht="18.75" x14ac:dyDescent="0.3">
      <c r="A62" s="216" t="s">
        <v>89</v>
      </c>
      <c r="B62" s="215"/>
      <c r="C62" s="215"/>
      <c r="D62" s="215"/>
      <c r="E62" s="317" t="s">
        <v>163</v>
      </c>
      <c r="F62" s="317"/>
      <c r="G62" s="317"/>
      <c r="H62" s="317"/>
    </row>
    <row r="63" spans="1:12" ht="15.75" thickBot="1" x14ac:dyDescent="0.3"/>
    <row r="64" spans="1:12" ht="20.25" thickBot="1" x14ac:dyDescent="0.3">
      <c r="A64" s="227" t="s">
        <v>46</v>
      </c>
      <c r="B64" s="59"/>
      <c r="C64" s="59"/>
      <c r="D64" s="59"/>
      <c r="E64" s="59"/>
      <c r="F64" s="59"/>
      <c r="G64" s="59"/>
      <c r="H64" s="142"/>
    </row>
    <row r="66" spans="1:11" ht="17.25" x14ac:dyDescent="0.25">
      <c r="A66" s="139" t="s">
        <v>23</v>
      </c>
      <c r="B66" s="140"/>
      <c r="C66" s="140"/>
      <c r="D66" s="141"/>
      <c r="E66" s="230">
        <f>IF($E$62="Medium",IF($E$61&gt;Data!D48,IF($E$61&gt;Data!D49,IF($E$61&gt;Data!D50,IF($E$61&gt;Data!D51,IF($E$61&gt;Data!D52,IF($E$61&gt;Data!D53,IF($E$61&gt;Data!D54,IF($E$61&gt;Data!D55,IF($E$61&gt;Data!D56,IF($E$61&gt;Data!D57,IF($E$61&gt;Data!D58,Data!E59,Data!E58),Data!E57),Data!E56),Data!E55),Data!E54),Data!E53),Data!E52),Data!E51),Data!E50),Data!E49),Data!E48),IF($E$62="High",(IF($E$61&gt;Data!D29,IF($E$61&gt;Data!D30,IF($E$61&gt;Data!D31,IF($E$61&gt;Data!D32,IF($E$61&gt;Data!D33,IF($E$61&gt;Data!D34,IF($E$61&gt;Data!D35,IF($E$61&gt;Data!D36,IF($E$61&gt;Data!D37,IF($E$61&gt;Data!D38,IF($E$61&gt;Data!D39,Data!E40,Data!E39),Data!E37),Data!E36),Data!E35),Data!E34),Data!E33),Data!E52),Data!E32),Data!E31),Data!E30),Data!E29)),IF($E$62="Low",(IF($E$61&gt;Data!D67,IF($E$61&gt;Data!D68,IF($E$61&gt;Data!D69,IF($E$61&gt;Data!D70,IF($E$61&gt;Data!D71,IF($E$61&gt;Data!D72,IF($E$61&gt;Data!D73,IF($E$61&gt;Data!D74,IF($E$61&gt;Data!D75,IF($E$61&gt;Data!D76,IF($E$61&gt;Data!D77,Data!E78,Data!E77),Data!E76),Data!E75),Data!E74),Data!E73),Data!E72),Data!E71),Data!E70),Data!E69),Data!E68),Data!E67)))))</f>
        <v>346886.84</v>
      </c>
      <c r="F66" s="144"/>
      <c r="G66" s="144"/>
      <c r="H66" s="145"/>
    </row>
    <row r="67" spans="1:11" ht="17.25" x14ac:dyDescent="0.25">
      <c r="A67" s="149" t="s">
        <v>51</v>
      </c>
      <c r="B67" s="61"/>
      <c r="C67" s="61"/>
      <c r="D67" s="150"/>
      <c r="E67" s="231">
        <f>IF($E$62="Medium",($E$61-(VLOOKUP($E$66,Data!E48:G59,3,FALSE)))*(VLOOKUP($E$66,Data!E48:G59,2,FALSE)),IF($E$62="High",($E$61-(VLOOKUP($E$66,Data!E29:G40,3,FALSE)))*(VLOOKUP($E$66,Data!E29:G40,2,FALSE)),IF($E$62="Low",($E$61-(VLOOKUP($E$66,Data!E66:G78,3,FALSE)))*(VLOOKUP($E$66,Data!E66:G78,2,FALSE)))))</f>
        <v>207359.87039999999</v>
      </c>
      <c r="F67" s="79"/>
      <c r="G67" s="79"/>
      <c r="H67" s="154"/>
    </row>
    <row r="68" spans="1:11" ht="17.25" x14ac:dyDescent="0.25">
      <c r="A68" s="149"/>
      <c r="B68" s="61"/>
      <c r="C68" s="61"/>
      <c r="D68" s="150"/>
      <c r="E68" s="231">
        <f>E66+E67</f>
        <v>554246.71039999998</v>
      </c>
      <c r="F68" s="79"/>
      <c r="G68" s="79"/>
      <c r="H68" s="154"/>
    </row>
    <row r="69" spans="1:11" ht="17.25" x14ac:dyDescent="0.25">
      <c r="A69" s="149" t="s">
        <v>54</v>
      </c>
      <c r="B69" s="61"/>
      <c r="C69" s="61"/>
      <c r="D69" s="150"/>
      <c r="E69" s="232">
        <v>0</v>
      </c>
      <c r="F69" s="4"/>
      <c r="G69" s="4"/>
      <c r="H69" s="157"/>
    </row>
    <row r="70" spans="1:11" ht="18" x14ac:dyDescent="0.25">
      <c r="A70" s="151" t="s">
        <v>56</v>
      </c>
      <c r="B70" s="152"/>
      <c r="C70" s="152"/>
      <c r="D70" s="153"/>
      <c r="E70" s="233">
        <f>E68+E69</f>
        <v>554246.71039999998</v>
      </c>
      <c r="F70" s="155"/>
      <c r="G70" s="155"/>
      <c r="H70" s="156"/>
    </row>
    <row r="71" spans="1:11" ht="15.75" thickBot="1" x14ac:dyDescent="0.3"/>
    <row r="72" spans="1:11" ht="19.5" thickBot="1" x14ac:dyDescent="0.35">
      <c r="A72" s="229" t="s">
        <v>38</v>
      </c>
      <c r="B72" s="158"/>
      <c r="C72" s="158"/>
      <c r="D72" s="159"/>
      <c r="E72" s="117" t="s">
        <v>39</v>
      </c>
      <c r="F72" s="117" t="s">
        <v>128</v>
      </c>
      <c r="G72" s="136" t="s">
        <v>68</v>
      </c>
      <c r="H72" s="117" t="s">
        <v>127</v>
      </c>
    </row>
    <row r="73" spans="1:11" ht="17.25" x14ac:dyDescent="0.3">
      <c r="A73" s="84" t="s">
        <v>168</v>
      </c>
      <c r="B73" s="137" t="s">
        <v>172</v>
      </c>
      <c r="C73" s="137"/>
      <c r="D73" s="137"/>
      <c r="E73" s="114">
        <v>0.02</v>
      </c>
      <c r="F73" s="83">
        <f>$E$70*E73</f>
        <v>11084.934208000001</v>
      </c>
      <c r="G73" s="114">
        <v>0.56999999999999995</v>
      </c>
      <c r="H73" s="115">
        <f>IF(G73=0,F73,F73-(F73*G73))</f>
        <v>4766.5217094400004</v>
      </c>
    </row>
    <row r="74" spans="1:11" ht="17.25" x14ac:dyDescent="0.3">
      <c r="A74" s="88" t="s">
        <v>167</v>
      </c>
      <c r="B74" s="3" t="s">
        <v>170</v>
      </c>
      <c r="C74" s="3"/>
      <c r="D74" s="3"/>
      <c r="E74" s="257">
        <v>0.15</v>
      </c>
      <c r="F74" s="5">
        <f t="shared" ref="F74:F79" si="1">$E$70*E74</f>
        <v>83137.006559999994</v>
      </c>
      <c r="G74" s="257">
        <v>0.56999999999999995</v>
      </c>
      <c r="H74" s="87">
        <f t="shared" ref="H74:H79" si="2">IF(G74=0,F74,F74-(F74*G74))</f>
        <v>35748.912820800004</v>
      </c>
    </row>
    <row r="75" spans="1:11" ht="17.25" x14ac:dyDescent="0.3">
      <c r="A75" s="88" t="s">
        <v>166</v>
      </c>
      <c r="B75" s="3" t="s">
        <v>169</v>
      </c>
      <c r="C75" s="3"/>
      <c r="D75" s="3"/>
      <c r="E75" s="257">
        <v>0.2</v>
      </c>
      <c r="F75" s="5">
        <f t="shared" si="1"/>
        <v>110849.34208</v>
      </c>
      <c r="G75" s="257">
        <v>0.56999999999999995</v>
      </c>
      <c r="H75" s="87">
        <f t="shared" si="2"/>
        <v>47665.21709440001</v>
      </c>
      <c r="J75" s="267"/>
      <c r="K75" s="94"/>
    </row>
    <row r="76" spans="1:11" ht="17.25" x14ac:dyDescent="0.3">
      <c r="A76" s="88" t="s">
        <v>47</v>
      </c>
      <c r="B76" s="3" t="s">
        <v>48</v>
      </c>
      <c r="C76" s="3"/>
      <c r="D76" s="3"/>
      <c r="E76" s="257">
        <v>0.1</v>
      </c>
      <c r="F76" s="5">
        <f t="shared" si="1"/>
        <v>55424.671040000001</v>
      </c>
      <c r="G76" s="257">
        <v>0</v>
      </c>
      <c r="H76" s="87">
        <f t="shared" si="2"/>
        <v>55424.671040000001</v>
      </c>
      <c r="J76" s="267"/>
    </row>
    <row r="77" spans="1:11" ht="17.25" x14ac:dyDescent="0.3">
      <c r="A77" s="88" t="s">
        <v>59</v>
      </c>
      <c r="B77" s="3" t="s">
        <v>49</v>
      </c>
      <c r="C77" s="3"/>
      <c r="D77" s="3"/>
      <c r="E77" s="257">
        <v>0.2</v>
      </c>
      <c r="F77" s="5">
        <f t="shared" si="1"/>
        <v>110849.34208</v>
      </c>
      <c r="G77" s="257">
        <v>0.3</v>
      </c>
      <c r="H77" s="87">
        <f>IF(G77=0,F77,F77-(F77*G77))</f>
        <v>77594.539455999999</v>
      </c>
      <c r="J77" s="267"/>
      <c r="K77" s="94"/>
    </row>
    <row r="78" spans="1:11" ht="17.25" x14ac:dyDescent="0.3">
      <c r="A78" s="88" t="s">
        <v>52</v>
      </c>
      <c r="B78" s="3" t="s">
        <v>171</v>
      </c>
      <c r="C78" s="3"/>
      <c r="D78" s="3"/>
      <c r="E78" s="257">
        <v>0.3</v>
      </c>
      <c r="F78" s="5">
        <f t="shared" si="1"/>
        <v>166274.01311999999</v>
      </c>
      <c r="G78" s="257">
        <v>0</v>
      </c>
      <c r="H78" s="87">
        <f>IF(G78=0,F78,F78-(F78*G78))</f>
        <v>166274.01311999999</v>
      </c>
      <c r="J78" s="267"/>
    </row>
    <row r="79" spans="1:11" ht="18" thickBot="1" x14ac:dyDescent="0.35">
      <c r="A79" s="89" t="s">
        <v>165</v>
      </c>
      <c r="B79" s="138" t="s">
        <v>164</v>
      </c>
      <c r="C79" s="138"/>
      <c r="D79" s="138"/>
      <c r="E79" s="116">
        <v>0.03</v>
      </c>
      <c r="F79" s="85">
        <f t="shared" si="1"/>
        <v>16627.401311999998</v>
      </c>
      <c r="G79" s="116">
        <v>0</v>
      </c>
      <c r="H79" s="86">
        <f t="shared" si="2"/>
        <v>16627.401311999998</v>
      </c>
      <c r="J79" s="268"/>
    </row>
    <row r="80" spans="1:11" ht="18" thickBot="1" x14ac:dyDescent="0.35">
      <c r="A80" s="1"/>
      <c r="B80" s="1"/>
      <c r="C80" s="1"/>
      <c r="F80" s="1"/>
      <c r="G80" s="3"/>
      <c r="H80" s="1"/>
    </row>
    <row r="81" spans="1:11" ht="19.5" thickBot="1" x14ac:dyDescent="0.35">
      <c r="A81" s="1"/>
      <c r="B81" s="1"/>
      <c r="C81" s="1"/>
      <c r="E81" s="304" t="s">
        <v>96</v>
      </c>
      <c r="F81" s="305"/>
      <c r="G81" s="306"/>
      <c r="H81" s="122">
        <f>H82*(1-(SUM(H73:H79)/H82))</f>
        <v>150145.43384735996</v>
      </c>
    </row>
    <row r="82" spans="1:11" ht="19.5" thickBot="1" x14ac:dyDescent="0.35">
      <c r="B82" s="118"/>
      <c r="C82" s="118"/>
      <c r="E82" s="304" t="s">
        <v>55</v>
      </c>
      <c r="F82" s="305"/>
      <c r="G82" s="306"/>
      <c r="H82" s="122">
        <f>SUM(F73:F79)</f>
        <v>554246.71039999998</v>
      </c>
      <c r="J82" s="94"/>
    </row>
    <row r="83" spans="1:11" ht="15.75" thickBot="1" x14ac:dyDescent="0.3"/>
    <row r="84" spans="1:11" ht="18.75" thickBot="1" x14ac:dyDescent="0.3">
      <c r="E84" s="307" t="s">
        <v>124</v>
      </c>
      <c r="F84" s="308"/>
      <c r="G84" s="309"/>
      <c r="H84" s="119">
        <f>H82-H81</f>
        <v>404101.27655264002</v>
      </c>
    </row>
    <row r="85" spans="1:11" ht="17.25" x14ac:dyDescent="0.3">
      <c r="A85" s="1"/>
      <c r="B85" s="256"/>
      <c r="C85" s="202"/>
      <c r="D85" s="202"/>
      <c r="E85" s="60"/>
      <c r="F85" s="184"/>
      <c r="G85" s="4"/>
      <c r="H85" s="79"/>
    </row>
    <row r="86" spans="1:11" ht="17.25" x14ac:dyDescent="0.3">
      <c r="D86" s="1"/>
      <c r="E86" s="60"/>
      <c r="F86" s="60"/>
      <c r="G86" s="3"/>
      <c r="H86" s="60"/>
      <c r="J86" s="275"/>
      <c r="K86" s="94"/>
    </row>
    <row r="87" spans="1:11" ht="17.25" x14ac:dyDescent="0.3">
      <c r="D87" s="319" t="s">
        <v>173</v>
      </c>
      <c r="E87" s="320"/>
      <c r="F87" s="269">
        <f>COUNT(D92:E97)</f>
        <v>3</v>
      </c>
      <c r="G87" s="259"/>
      <c r="H87" s="260">
        <f>SUM(H78:H79)/F87</f>
        <v>60967.138143999997</v>
      </c>
      <c r="K87" s="94"/>
    </row>
    <row r="88" spans="1:11" ht="17.25" x14ac:dyDescent="0.3">
      <c r="D88" s="1"/>
      <c r="E88" s="1"/>
      <c r="F88" s="1"/>
      <c r="G88" s="1"/>
      <c r="H88" s="1"/>
    </row>
    <row r="89" spans="1:11" ht="17.25" x14ac:dyDescent="0.3">
      <c r="D89" s="319" t="s">
        <v>176</v>
      </c>
      <c r="E89" s="320"/>
      <c r="F89" s="274">
        <v>22</v>
      </c>
      <c r="G89" s="261"/>
      <c r="H89" s="260">
        <f>H87/F89</f>
        <v>2771.2335519999997</v>
      </c>
    </row>
    <row r="90" spans="1:11" ht="17.25" x14ac:dyDescent="0.3">
      <c r="D90" s="1"/>
      <c r="E90" s="1"/>
      <c r="F90" s="1"/>
      <c r="G90" s="1"/>
      <c r="H90" s="1"/>
      <c r="K90" s="275"/>
    </row>
    <row r="91" spans="1:11" ht="17.25" x14ac:dyDescent="0.3">
      <c r="D91" s="318" t="s">
        <v>159</v>
      </c>
      <c r="E91" s="313"/>
      <c r="F91" s="313" t="s">
        <v>160</v>
      </c>
      <c r="G91" s="313"/>
      <c r="H91" s="262" t="s">
        <v>161</v>
      </c>
    </row>
    <row r="92" spans="1:11" ht="17.25" x14ac:dyDescent="0.3">
      <c r="D92" s="311">
        <v>1</v>
      </c>
      <c r="E92" s="311"/>
      <c r="F92" s="312">
        <v>2</v>
      </c>
      <c r="G92" s="312"/>
      <c r="H92" s="263">
        <f>$H$87</f>
        <v>60967.138143999997</v>
      </c>
    </row>
    <row r="93" spans="1:11" ht="17.25" x14ac:dyDescent="0.3">
      <c r="D93" s="312">
        <v>2</v>
      </c>
      <c r="E93" s="312"/>
      <c r="F93" s="312">
        <v>2</v>
      </c>
      <c r="G93" s="312"/>
      <c r="H93" s="263">
        <f>$H$87</f>
        <v>60967.138143999997</v>
      </c>
    </row>
    <row r="94" spans="1:11" ht="17.25" x14ac:dyDescent="0.3">
      <c r="D94" s="312">
        <v>3</v>
      </c>
      <c r="E94" s="312"/>
      <c r="F94" s="312">
        <v>4</v>
      </c>
      <c r="G94" s="312"/>
      <c r="H94" s="263">
        <f>$H$87</f>
        <v>60967.138143999997</v>
      </c>
    </row>
    <row r="95" spans="1:11" ht="17.25" x14ac:dyDescent="0.3">
      <c r="D95" s="312"/>
      <c r="E95" s="312"/>
      <c r="F95" s="312"/>
      <c r="G95" s="312"/>
      <c r="H95" s="263"/>
    </row>
    <row r="96" spans="1:11" ht="17.25" x14ac:dyDescent="0.3">
      <c r="D96" s="312" t="s">
        <v>183</v>
      </c>
      <c r="E96" s="312"/>
      <c r="F96" s="312">
        <v>10</v>
      </c>
      <c r="G96" s="312"/>
      <c r="H96" s="263">
        <f>F96*I96</f>
        <v>2717</v>
      </c>
      <c r="I96">
        <f>24.7*2*5.5</f>
        <v>271.7</v>
      </c>
    </row>
    <row r="97" spans="4:11" ht="17.25" x14ac:dyDescent="0.3">
      <c r="D97" s="312"/>
      <c r="E97" s="312"/>
      <c r="F97" s="312"/>
      <c r="G97" s="312"/>
      <c r="H97" s="263"/>
    </row>
    <row r="98" spans="4:11" ht="17.25" x14ac:dyDescent="0.3">
      <c r="D98" s="312"/>
      <c r="E98" s="312"/>
      <c r="F98" s="312"/>
      <c r="G98" s="312"/>
      <c r="H98" s="263"/>
    </row>
    <row r="100" spans="4:11" ht="22.5" customHeight="1" x14ac:dyDescent="0.3">
      <c r="D100" s="318" t="s">
        <v>174</v>
      </c>
      <c r="E100" s="313"/>
      <c r="F100" s="313"/>
      <c r="G100" s="313"/>
      <c r="H100" s="260">
        <f>SUM(H92:H97)</f>
        <v>185618.41443199999</v>
      </c>
    </row>
    <row r="101" spans="4:11" ht="17.25" x14ac:dyDescent="0.3">
      <c r="D101" s="3"/>
      <c r="E101" s="1"/>
      <c r="F101" s="1"/>
      <c r="G101" s="3"/>
      <c r="H101" s="263"/>
    </row>
    <row r="102" spans="4:11" ht="17.25" x14ac:dyDescent="0.3">
      <c r="D102" s="264" t="s">
        <v>162</v>
      </c>
      <c r="E102" s="259"/>
      <c r="F102" s="259"/>
      <c r="G102" s="259"/>
      <c r="H102" s="265">
        <f>SUM(F92:F94)</f>
        <v>8</v>
      </c>
      <c r="J102" s="258"/>
    </row>
    <row r="111" spans="4:11" x14ac:dyDescent="0.25">
      <c r="K111" s="121"/>
    </row>
    <row r="112" spans="4:11" x14ac:dyDescent="0.25">
      <c r="K112" s="120"/>
    </row>
    <row r="113" spans="4:5" x14ac:dyDescent="0.25">
      <c r="D113" s="310"/>
      <c r="E113" s="310"/>
    </row>
    <row r="114" spans="4:5" x14ac:dyDescent="0.25">
      <c r="D114" s="310"/>
      <c r="E114" s="310"/>
    </row>
    <row r="115" spans="4:5" x14ac:dyDescent="0.25">
      <c r="D115" s="310"/>
      <c r="E115" s="310"/>
    </row>
  </sheetData>
  <mergeCells count="39">
    <mergeCell ref="D100:E100"/>
    <mergeCell ref="F100:G100"/>
    <mergeCell ref="D113:E113"/>
    <mergeCell ref="D114:E114"/>
    <mergeCell ref="D115:E115"/>
    <mergeCell ref="D96:E96"/>
    <mergeCell ref="F96:G96"/>
    <mergeCell ref="F97:G97"/>
    <mergeCell ref="D98:E98"/>
    <mergeCell ref="F98:G98"/>
    <mergeCell ref="D97:E97"/>
    <mergeCell ref="E61:H61"/>
    <mergeCell ref="F94:G94"/>
    <mergeCell ref="D95:E95"/>
    <mergeCell ref="F95:G95"/>
    <mergeCell ref="D94:E94"/>
    <mergeCell ref="D89:E89"/>
    <mergeCell ref="F91:G91"/>
    <mergeCell ref="D92:E92"/>
    <mergeCell ref="F92:G92"/>
    <mergeCell ref="D93:E93"/>
    <mergeCell ref="F93:G93"/>
    <mergeCell ref="D91:E91"/>
    <mergeCell ref="E62:H62"/>
    <mergeCell ref="E81:G81"/>
    <mergeCell ref="E82:G82"/>
    <mergeCell ref="E84:G84"/>
    <mergeCell ref="D87:E87"/>
    <mergeCell ref="A42:B42"/>
    <mergeCell ref="A22:B22"/>
    <mergeCell ref="J13:K13"/>
    <mergeCell ref="A11:H11"/>
    <mergeCell ref="A13:C13"/>
    <mergeCell ref="A14:C14"/>
    <mergeCell ref="A15:B15"/>
    <mergeCell ref="J18:K18"/>
    <mergeCell ref="J21:K21"/>
    <mergeCell ref="J26:K26"/>
    <mergeCell ref="J32:K32"/>
  </mergeCells>
  <phoneticPr fontId="25" type="noConversion"/>
  <dataValidations disablePrompts="1" count="3">
    <dataValidation type="list" allowBlank="1" showInputMessage="1" showErrorMessage="1" sqref="E62" xr:uid="{470D043C-A134-4CF4-AED7-E5C44A026038}">
      <formula1>"Low,Medium,High"</formula1>
    </dataValidation>
    <dataValidation type="list" allowBlank="1" showInputMessage="1" showErrorMessage="1" sqref="D37:D40" xr:uid="{C59AC45A-36C6-42B4-B117-4A53BA6E46DB}">
      <formula1>"Dewald, Hannes, Johan"</formula1>
    </dataValidation>
    <dataValidation type="list" allowBlank="1" showInputMessage="1" showErrorMessage="1" sqref="D16:D19 D21" xr:uid="{5EDACF7A-BC90-4651-800C-B0C849F1BC5F}">
      <formula1>"Director, Staff"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5C50E-4538-4BF0-A104-A0C77C22506F}">
  <dimension ref="A1:J28"/>
  <sheetViews>
    <sheetView workbookViewId="0">
      <selection activeCell="F19" sqref="F19"/>
    </sheetView>
  </sheetViews>
  <sheetFormatPr defaultRowHeight="15" x14ac:dyDescent="0.25"/>
  <cols>
    <col min="1" max="1" width="33.7109375" customWidth="1"/>
    <col min="2" max="2" width="11.7109375" customWidth="1"/>
    <col min="3" max="3" width="14.85546875" customWidth="1"/>
    <col min="4" max="4" width="12.85546875" customWidth="1"/>
    <col min="5" max="5" width="15.5703125" customWidth="1"/>
    <col min="6" max="6" width="15.28515625" customWidth="1"/>
    <col min="7" max="7" width="11.5703125" bestFit="1" customWidth="1"/>
    <col min="11" max="11" width="10.5703125" bestFit="1" customWidth="1"/>
  </cols>
  <sheetData>
    <row r="1" spans="1:10" x14ac:dyDescent="0.25">
      <c r="A1" s="240" t="s">
        <v>158</v>
      </c>
      <c r="B1" s="244" t="s">
        <v>153</v>
      </c>
      <c r="C1" s="244" t="s">
        <v>151</v>
      </c>
      <c r="D1" s="244" t="s">
        <v>155</v>
      </c>
      <c r="E1" s="243" t="s">
        <v>152</v>
      </c>
      <c r="F1" s="244" t="s">
        <v>113</v>
      </c>
    </row>
    <row r="2" spans="1:10" x14ac:dyDescent="0.25">
      <c r="A2" s="235" t="s">
        <v>131</v>
      </c>
      <c r="B2" s="245">
        <v>1</v>
      </c>
      <c r="C2" s="245">
        <v>2</v>
      </c>
      <c r="D2" s="245">
        <f>C2*B2</f>
        <v>2</v>
      </c>
      <c r="E2" s="236">
        <v>650</v>
      </c>
      <c r="F2" s="248">
        <f>(B2*C2)*E2</f>
        <v>1300</v>
      </c>
    </row>
    <row r="3" spans="1:10" x14ac:dyDescent="0.25">
      <c r="A3" s="237" t="s">
        <v>133</v>
      </c>
      <c r="B3" s="246">
        <v>1</v>
      </c>
      <c r="C3" s="246">
        <v>2</v>
      </c>
      <c r="D3" s="246">
        <f t="shared" ref="D3:D18" si="0">C3*B3</f>
        <v>2</v>
      </c>
      <c r="E3" s="173">
        <v>650</v>
      </c>
      <c r="F3" s="249">
        <f t="shared" ref="F3:F18" si="1">(B3*C3)*E3</f>
        <v>1300</v>
      </c>
    </row>
    <row r="4" spans="1:10" x14ac:dyDescent="0.25">
      <c r="A4" s="237" t="s">
        <v>139</v>
      </c>
      <c r="B4" s="246">
        <v>2</v>
      </c>
      <c r="C4" s="246">
        <v>2</v>
      </c>
      <c r="D4" s="246">
        <f t="shared" si="0"/>
        <v>4</v>
      </c>
      <c r="E4" s="173">
        <v>650</v>
      </c>
      <c r="F4" s="249">
        <f t="shared" si="1"/>
        <v>2600</v>
      </c>
    </row>
    <row r="5" spans="1:10" x14ac:dyDescent="0.25">
      <c r="A5" s="237" t="s">
        <v>132</v>
      </c>
      <c r="B5" s="246">
        <v>93</v>
      </c>
      <c r="C5" s="246">
        <v>0.05</v>
      </c>
      <c r="D5" s="246">
        <f t="shared" si="0"/>
        <v>4.6500000000000004</v>
      </c>
      <c r="E5" s="173">
        <v>650</v>
      </c>
      <c r="F5" s="249">
        <f t="shared" si="1"/>
        <v>3022.5000000000005</v>
      </c>
      <c r="J5" s="173"/>
    </row>
    <row r="6" spans="1:10" x14ac:dyDescent="0.25">
      <c r="A6" s="237" t="s">
        <v>134</v>
      </c>
      <c r="B6" s="246">
        <v>20</v>
      </c>
      <c r="C6" s="246">
        <v>0.15</v>
      </c>
      <c r="D6" s="246">
        <f t="shared" si="0"/>
        <v>3</v>
      </c>
      <c r="E6" s="173">
        <v>650</v>
      </c>
      <c r="F6" s="249">
        <f t="shared" si="1"/>
        <v>1950</v>
      </c>
    </row>
    <row r="7" spans="1:10" x14ac:dyDescent="0.25">
      <c r="A7" s="237" t="s">
        <v>140</v>
      </c>
      <c r="B7" s="246">
        <v>1</v>
      </c>
      <c r="C7" s="246">
        <v>0.25</v>
      </c>
      <c r="D7" s="246">
        <f t="shared" si="0"/>
        <v>0.25</v>
      </c>
      <c r="E7" s="173">
        <v>650</v>
      </c>
      <c r="F7" s="249">
        <f t="shared" si="1"/>
        <v>162.5</v>
      </c>
    </row>
    <row r="8" spans="1:10" x14ac:dyDescent="0.25">
      <c r="A8" s="237" t="s">
        <v>141</v>
      </c>
      <c r="B8" s="246">
        <v>1</v>
      </c>
      <c r="C8" s="246">
        <v>0.25</v>
      </c>
      <c r="D8" s="246">
        <f t="shared" si="0"/>
        <v>0.25</v>
      </c>
      <c r="E8" s="173">
        <v>650</v>
      </c>
      <c r="F8" s="249">
        <f t="shared" si="1"/>
        <v>162.5</v>
      </c>
    </row>
    <row r="9" spans="1:10" x14ac:dyDescent="0.25">
      <c r="A9" s="237" t="s">
        <v>142</v>
      </c>
      <c r="B9" s="246">
        <v>1</v>
      </c>
      <c r="C9" s="246">
        <v>0.25</v>
      </c>
      <c r="D9" s="246">
        <f t="shared" si="0"/>
        <v>0.25</v>
      </c>
      <c r="E9" s="173">
        <v>650</v>
      </c>
      <c r="F9" s="249">
        <f t="shared" si="1"/>
        <v>162.5</v>
      </c>
    </row>
    <row r="10" spans="1:10" x14ac:dyDescent="0.25">
      <c r="A10" s="237" t="s">
        <v>143</v>
      </c>
      <c r="B10" s="246">
        <v>1</v>
      </c>
      <c r="C10" s="246">
        <v>1</v>
      </c>
      <c r="D10" s="246">
        <f t="shared" si="0"/>
        <v>1</v>
      </c>
      <c r="E10" s="173">
        <v>650</v>
      </c>
      <c r="F10" s="249">
        <f t="shared" si="1"/>
        <v>650</v>
      </c>
    </row>
    <row r="11" spans="1:10" x14ac:dyDescent="0.25">
      <c r="A11" s="237" t="s">
        <v>144</v>
      </c>
      <c r="B11" s="246">
        <v>1</v>
      </c>
      <c r="C11" s="246">
        <v>1</v>
      </c>
      <c r="D11" s="246">
        <f t="shared" si="0"/>
        <v>1</v>
      </c>
      <c r="E11" s="173">
        <v>650</v>
      </c>
      <c r="F11" s="249">
        <f t="shared" si="1"/>
        <v>650</v>
      </c>
    </row>
    <row r="12" spans="1:10" x14ac:dyDescent="0.25">
      <c r="A12" s="237" t="s">
        <v>145</v>
      </c>
      <c r="B12" s="246">
        <v>1</v>
      </c>
      <c r="C12" s="246">
        <v>1</v>
      </c>
      <c r="D12" s="246">
        <f t="shared" si="0"/>
        <v>1</v>
      </c>
      <c r="E12" s="173">
        <v>650</v>
      </c>
      <c r="F12" s="249">
        <f t="shared" si="1"/>
        <v>650</v>
      </c>
    </row>
    <row r="13" spans="1:10" x14ac:dyDescent="0.25">
      <c r="A13" s="237" t="s">
        <v>154</v>
      </c>
      <c r="B13" s="246">
        <v>1</v>
      </c>
      <c r="C13" s="246">
        <v>2</v>
      </c>
      <c r="D13" s="246">
        <f t="shared" si="0"/>
        <v>2</v>
      </c>
      <c r="E13" s="173">
        <v>650</v>
      </c>
      <c r="F13" s="249">
        <f t="shared" si="1"/>
        <v>1300</v>
      </c>
      <c r="J13" s="234"/>
    </row>
    <row r="14" spans="1:10" x14ac:dyDescent="0.25">
      <c r="A14" s="237" t="s">
        <v>146</v>
      </c>
      <c r="B14" s="246">
        <v>1</v>
      </c>
      <c r="C14" s="246">
        <v>2</v>
      </c>
      <c r="D14" s="246">
        <f t="shared" si="0"/>
        <v>2</v>
      </c>
      <c r="E14" s="173">
        <v>650</v>
      </c>
      <c r="F14" s="249">
        <f t="shared" si="1"/>
        <v>1300</v>
      </c>
    </row>
    <row r="15" spans="1:10" x14ac:dyDescent="0.25">
      <c r="A15" s="237" t="s">
        <v>147</v>
      </c>
      <c r="B15" s="246">
        <v>1</v>
      </c>
      <c r="C15" s="246">
        <v>2</v>
      </c>
      <c r="D15" s="246">
        <f t="shared" si="0"/>
        <v>2</v>
      </c>
      <c r="E15" s="173">
        <v>650</v>
      </c>
      <c r="F15" s="249">
        <f t="shared" si="1"/>
        <v>1300</v>
      </c>
    </row>
    <row r="16" spans="1:10" x14ac:dyDescent="0.25">
      <c r="A16" s="237" t="s">
        <v>148</v>
      </c>
      <c r="B16" s="246">
        <v>2</v>
      </c>
      <c r="C16" s="246">
        <v>2</v>
      </c>
      <c r="D16" s="246">
        <f t="shared" si="0"/>
        <v>4</v>
      </c>
      <c r="E16" s="173">
        <v>650</v>
      </c>
      <c r="F16" s="249">
        <f t="shared" si="1"/>
        <v>2600</v>
      </c>
    </row>
    <row r="17" spans="1:8" x14ac:dyDescent="0.25">
      <c r="A17" s="237" t="s">
        <v>149</v>
      </c>
      <c r="B17" s="246">
        <v>1</v>
      </c>
      <c r="C17" s="246">
        <v>1</v>
      </c>
      <c r="D17" s="246">
        <f t="shared" si="0"/>
        <v>1</v>
      </c>
      <c r="E17" s="173">
        <v>650</v>
      </c>
      <c r="F17" s="249">
        <f t="shared" si="1"/>
        <v>650</v>
      </c>
    </row>
    <row r="18" spans="1:8" x14ac:dyDescent="0.25">
      <c r="A18" s="238" t="s">
        <v>150</v>
      </c>
      <c r="B18" s="247">
        <v>1</v>
      </c>
      <c r="C18" s="247">
        <v>2</v>
      </c>
      <c r="D18" s="247">
        <f t="shared" si="0"/>
        <v>2</v>
      </c>
      <c r="E18" s="239">
        <v>650</v>
      </c>
      <c r="F18" s="250">
        <f t="shared" si="1"/>
        <v>1300</v>
      </c>
      <c r="H18" s="97"/>
    </row>
    <row r="19" spans="1:8" x14ac:dyDescent="0.25">
      <c r="A19" s="253"/>
      <c r="B19" s="254"/>
      <c r="C19" s="254"/>
      <c r="D19" s="254">
        <f>SUM(D2:D18)</f>
        <v>32.4</v>
      </c>
      <c r="E19" s="255">
        <f>AVERAGE(E2:E18)</f>
        <v>650</v>
      </c>
      <c r="F19" s="252">
        <f>SUM(F2:F18)</f>
        <v>21060</v>
      </c>
      <c r="G19" s="173"/>
    </row>
    <row r="21" spans="1:8" x14ac:dyDescent="0.25">
      <c r="A21" s="240" t="s">
        <v>157</v>
      </c>
      <c r="B21" s="241"/>
      <c r="C21" s="241"/>
      <c r="D21" s="241"/>
      <c r="E21" s="241"/>
      <c r="F21" s="242">
        <f>D19</f>
        <v>32.4</v>
      </c>
    </row>
    <row r="22" spans="1:8" x14ac:dyDescent="0.25">
      <c r="A22" s="240" t="s">
        <v>156</v>
      </c>
      <c r="B22" s="241"/>
      <c r="C22" s="241"/>
      <c r="D22" s="241"/>
      <c r="E22" s="241"/>
      <c r="F22" s="242">
        <f>F21/8</f>
        <v>4.05</v>
      </c>
    </row>
    <row r="25" spans="1:8" x14ac:dyDescent="0.25">
      <c r="A25" s="251" t="s">
        <v>136</v>
      </c>
    </row>
    <row r="26" spans="1:8" x14ac:dyDescent="0.25">
      <c r="A26" t="s">
        <v>135</v>
      </c>
    </row>
    <row r="27" spans="1:8" x14ac:dyDescent="0.25">
      <c r="A27" t="s">
        <v>137</v>
      </c>
    </row>
    <row r="28" spans="1:8" x14ac:dyDescent="0.25">
      <c r="A28" t="s">
        <v>138</v>
      </c>
    </row>
  </sheetData>
  <pageMargins left="0.7" right="0.7" top="0.75" bottom="0.75" header="0.3" footer="0.3"/>
  <pageSetup orientation="portrait" r:id="rId1"/>
  <ignoredErrors>
    <ignoredError sqref="E19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16269-A42B-4449-9945-BFE91412DC7B}">
  <dimension ref="B2:W78"/>
  <sheetViews>
    <sheetView topLeftCell="A21" zoomScale="85" zoomScaleNormal="85" workbookViewId="0">
      <selection activeCell="L46" sqref="L46"/>
    </sheetView>
  </sheetViews>
  <sheetFormatPr defaultRowHeight="17.25" x14ac:dyDescent="0.3"/>
  <cols>
    <col min="1" max="1" width="12.28515625" style="1" bestFit="1" customWidth="1"/>
    <col min="2" max="2" width="43" style="1" bestFit="1" customWidth="1"/>
    <col min="3" max="3" width="21.28515625" style="1" bestFit="1" customWidth="1"/>
    <col min="4" max="4" width="15.42578125" style="1" customWidth="1"/>
    <col min="5" max="5" width="25.85546875" style="1" bestFit="1" customWidth="1"/>
    <col min="6" max="6" width="14.28515625" style="1" bestFit="1" customWidth="1"/>
    <col min="7" max="7" width="21.42578125" style="1" bestFit="1" customWidth="1"/>
    <col min="8" max="8" width="12.140625" style="1" bestFit="1" customWidth="1"/>
    <col min="9" max="9" width="9.140625" style="1"/>
    <col min="10" max="10" width="24.140625" style="1" bestFit="1" customWidth="1"/>
    <col min="11" max="11" width="44.85546875" style="1" bestFit="1" customWidth="1"/>
    <col min="12" max="12" width="21.85546875" style="1" bestFit="1" customWidth="1"/>
    <col min="13" max="13" width="16.28515625" style="1" bestFit="1" customWidth="1"/>
    <col min="14" max="14" width="25.85546875" style="1" bestFit="1" customWidth="1"/>
    <col min="15" max="15" width="14.28515625" style="1" bestFit="1" customWidth="1"/>
    <col min="16" max="16" width="10.7109375" style="1" bestFit="1" customWidth="1"/>
    <col min="17" max="17" width="15" style="1" bestFit="1" customWidth="1"/>
    <col min="18" max="18" width="13.7109375" style="1" bestFit="1" customWidth="1"/>
    <col min="19" max="19" width="21.42578125" style="1" bestFit="1" customWidth="1"/>
    <col min="20" max="20" width="12.85546875" style="1" customWidth="1"/>
    <col min="21" max="21" width="28.7109375" style="1" bestFit="1" customWidth="1"/>
    <col min="22" max="22" width="10" style="1" customWidth="1"/>
    <col min="23" max="24" width="12.140625" style="1" bestFit="1" customWidth="1"/>
    <col min="25" max="16384" width="9.140625" style="1"/>
  </cols>
  <sheetData>
    <row r="2" spans="2:23" ht="18" thickBot="1" x14ac:dyDescent="0.35"/>
    <row r="3" spans="2:23" ht="19.5" thickBot="1" x14ac:dyDescent="0.35">
      <c r="B3" s="25" t="s">
        <v>34</v>
      </c>
      <c r="C3" s="14"/>
      <c r="D3" s="14"/>
      <c r="E3" s="15"/>
      <c r="G3" s="4">
        <v>9</v>
      </c>
    </row>
    <row r="4" spans="2:23" ht="18" thickBot="1" x14ac:dyDescent="0.35">
      <c r="B4" s="16" t="s">
        <v>35</v>
      </c>
      <c r="C4" s="17" t="s">
        <v>36</v>
      </c>
      <c r="D4" s="22"/>
      <c r="E4" s="8" t="s">
        <v>4</v>
      </c>
      <c r="F4" s="70" t="s">
        <v>64</v>
      </c>
      <c r="G4" s="1" t="s">
        <v>76</v>
      </c>
      <c r="H4" s="81" t="s">
        <v>19</v>
      </c>
    </row>
    <row r="5" spans="2:23" ht="18" thickBot="1" x14ac:dyDescent="0.35">
      <c r="B5" s="18">
        <v>686</v>
      </c>
      <c r="C5" s="19">
        <v>5.5</v>
      </c>
      <c r="D5" s="23"/>
      <c r="E5" s="24">
        <f>C5*B5</f>
        <v>3773</v>
      </c>
      <c r="F5" s="80">
        <f>Employees!G19</f>
        <v>672</v>
      </c>
      <c r="G5" s="5">
        <f>F5*G3</f>
        <v>6048</v>
      </c>
      <c r="H5" s="82">
        <f>G5+E5</f>
        <v>9821</v>
      </c>
    </row>
    <row r="7" spans="2:23" ht="18" thickBot="1" x14ac:dyDescent="0.35">
      <c r="B7" s="1" t="s">
        <v>90</v>
      </c>
    </row>
    <row r="8" spans="2:23" ht="18" thickBot="1" x14ac:dyDescent="0.35">
      <c r="M8"/>
      <c r="N8" s="28" t="s">
        <v>38</v>
      </c>
      <c r="O8" s="28"/>
      <c r="P8" s="29" t="s">
        <v>39</v>
      </c>
      <c r="Q8" s="28" t="s">
        <v>40</v>
      </c>
      <c r="R8" s="28" t="s">
        <v>41</v>
      </c>
      <c r="S8" s="28" t="s">
        <v>42</v>
      </c>
      <c r="U8" s="28" t="s">
        <v>43</v>
      </c>
      <c r="V8"/>
      <c r="W8"/>
    </row>
    <row r="9" spans="2:23" ht="18" thickBot="1" x14ac:dyDescent="0.35">
      <c r="B9" s="26" t="s">
        <v>37</v>
      </c>
      <c r="C9" s="27">
        <v>3600000</v>
      </c>
      <c r="M9"/>
      <c r="N9" s="67" t="s">
        <v>44</v>
      </c>
      <c r="O9" s="9" t="s">
        <v>45</v>
      </c>
      <c r="P9" s="31">
        <v>0.4</v>
      </c>
      <c r="Q9" s="32">
        <f>C18*P9</f>
        <v>221698.68416</v>
      </c>
      <c r="R9" s="33">
        <v>0</v>
      </c>
      <c r="S9" s="34">
        <f>Q9-W9</f>
        <v>221698.68416</v>
      </c>
      <c r="U9" s="35" t="s">
        <v>17</v>
      </c>
      <c r="V9"/>
      <c r="W9" s="36">
        <f>Q9*R9</f>
        <v>0</v>
      </c>
    </row>
    <row r="10" spans="2:23" x14ac:dyDescent="0.3">
      <c r="B10" s="1" t="s">
        <v>89</v>
      </c>
      <c r="C10" s="3" t="s">
        <v>163</v>
      </c>
      <c r="M10"/>
      <c r="N10" s="65" t="s">
        <v>47</v>
      </c>
      <c r="O10" s="38" t="s">
        <v>48</v>
      </c>
      <c r="P10" s="39">
        <v>0.2</v>
      </c>
      <c r="Q10" s="40">
        <f>C18*P10</f>
        <v>110849.34208</v>
      </c>
      <c r="R10" s="41">
        <v>0</v>
      </c>
      <c r="S10" s="42">
        <f>Q10-W10</f>
        <v>110849.34208</v>
      </c>
      <c r="U10" s="43" t="s">
        <v>17</v>
      </c>
      <c r="V10"/>
      <c r="W10" s="44">
        <f>Q10*R10</f>
        <v>0</v>
      </c>
    </row>
    <row r="11" spans="2:23" x14ac:dyDescent="0.3">
      <c r="M11"/>
      <c r="N11" s="65" t="s">
        <v>59</v>
      </c>
      <c r="O11" s="38" t="s">
        <v>49</v>
      </c>
      <c r="P11" s="39">
        <v>0.1</v>
      </c>
      <c r="Q11" s="40">
        <f>C18*P11</f>
        <v>55424.671040000001</v>
      </c>
      <c r="R11" s="41">
        <v>0</v>
      </c>
      <c r="S11" s="42">
        <f>Q11-W11</f>
        <v>55424.671040000001</v>
      </c>
      <c r="U11" s="43" t="s">
        <v>50</v>
      </c>
      <c r="V11"/>
      <c r="W11" s="44">
        <f>Q11*R11</f>
        <v>0</v>
      </c>
    </row>
    <row r="12" spans="2:23" ht="18" thickBot="1" x14ac:dyDescent="0.35">
      <c r="M12"/>
      <c r="N12" s="66" t="s">
        <v>52</v>
      </c>
      <c r="O12" s="20" t="s">
        <v>53</v>
      </c>
      <c r="P12" s="46">
        <v>0.3</v>
      </c>
      <c r="Q12" s="19">
        <f>C18*P12</f>
        <v>166274.01311999999</v>
      </c>
      <c r="R12" s="47">
        <v>0</v>
      </c>
      <c r="S12" s="21">
        <f>Q12-W12</f>
        <v>166274.01311999999</v>
      </c>
      <c r="U12" s="48" t="s">
        <v>50</v>
      </c>
      <c r="V12"/>
      <c r="W12" s="49">
        <f>Q12*R12</f>
        <v>0</v>
      </c>
    </row>
    <row r="13" spans="2:23" ht="18" thickBot="1" x14ac:dyDescent="0.35">
      <c r="B13" s="343" t="s">
        <v>46</v>
      </c>
      <c r="C13" s="344"/>
      <c r="M13"/>
      <c r="V13"/>
      <c r="W13"/>
    </row>
    <row r="14" spans="2:23" ht="18" thickBot="1" x14ac:dyDescent="0.35">
      <c r="B14" s="30" t="s">
        <v>23</v>
      </c>
      <c r="C14" s="34">
        <f>IF(C10="Medium",IF($C$9&gt;D48,IF($C$9&gt;D49,IF($C$9&gt;D50,IF($C$9&gt;D51,IF($C$9&gt;D52,IF($C$9&gt;D53,IF($C$9&gt;D54,IF($C$9&gt;D55,IF($C$9&gt;D56,IF($C$9&gt;D57,IF($C$9&gt;D58,E59,E58),E57),E56),E55),E54),E53),E52),E51),E50),E49),E48),IF(C10="High",IF($C$9&gt;D29,IF($C$9&gt;D30,IF($C$9&gt;D31,IF($C$9&gt;D32,IF($C$9&gt;D33,IF($C$9&gt;D34,IF($C$9&gt;D35,IF($C$9&gt;D36,IF($C$9&gt;D37,IF($C$9&gt;D38,IF($C$9&gt;D39,E40,E39),E38),E37),E36),E35),E34),E33),E32),E31),E30),E29),IF(C10="Low",IF($C$9&gt;D67,IF($C$9&gt;D68,IF($C$9&gt;D69,IF($C$9&gt;D70,IF($C$9&gt;D71,IF($C$9&gt;D72,IF($C$9&gt;D73,IF($C$9&gt;D74,IF($C$9&gt;D75,IF($C$9&gt;D76,IF($C$9&gt;D77,E78,E77),E76),E75),E74),E73),E72),E71),E70),E69),E68),E67))))</f>
        <v>346886.84</v>
      </c>
      <c r="M14"/>
      <c r="N14" s="341" t="s">
        <v>55</v>
      </c>
      <c r="O14" s="342"/>
      <c r="P14" s="55"/>
      <c r="Q14" s="51">
        <f>SUM(Q9:Q12)</f>
        <v>554246.71039999998</v>
      </c>
      <c r="R14" s="45"/>
      <c r="S14" s="20"/>
      <c r="V14"/>
      <c r="W14"/>
    </row>
    <row r="15" spans="2:23" ht="18" thickBot="1" x14ac:dyDescent="0.35">
      <c r="B15" s="37" t="s">
        <v>51</v>
      </c>
      <c r="C15" s="42">
        <f>IF($C$10="Medium",($C$9-(VLOOKUP(C14,E48:G59,3,FALSE)))*(VLOOKUP(C14,E48:G59,2,FALSE)),IF($C$10="High",($C$9-(VLOOKUP(C14,E29:G40,3,FALSE)))*(VLOOKUP(C14,E29:G40,2,FALSE)),IF($C$10="Low",($C$9-(VLOOKUP(C14,E67:G78,3,FALSE)))*(VLOOKUP(C14,E67:G78,2,FALSE)))))</f>
        <v>207359.87039999999</v>
      </c>
      <c r="E15" s="5"/>
      <c r="M15"/>
      <c r="N15" s="28" t="s">
        <v>57</v>
      </c>
      <c r="O15" s="6"/>
      <c r="P15" s="6"/>
      <c r="Q15" s="6"/>
      <c r="R15" s="7" t="s">
        <v>58</v>
      </c>
      <c r="S15" s="53">
        <f>SUM(S9:S12)</f>
        <v>554246.71039999998</v>
      </c>
      <c r="V15"/>
      <c r="W15"/>
    </row>
    <row r="16" spans="2:23" x14ac:dyDescent="0.3">
      <c r="B16" s="37"/>
      <c r="C16" s="42">
        <f>C14+C15</f>
        <v>554246.71039999998</v>
      </c>
    </row>
    <row r="17" spans="2:12" ht="18" thickBot="1" x14ac:dyDescent="0.35">
      <c r="B17" s="45" t="s">
        <v>54</v>
      </c>
      <c r="C17" s="50">
        <v>0</v>
      </c>
    </row>
    <row r="18" spans="2:12" ht="18" thickBot="1" x14ac:dyDescent="0.35">
      <c r="B18" s="54" t="s">
        <v>56</v>
      </c>
      <c r="C18" s="52">
        <f>C16+C17</f>
        <v>554246.71039999998</v>
      </c>
    </row>
    <row r="24" spans="2:12" x14ac:dyDescent="0.3">
      <c r="B24" s="345" t="s">
        <v>20</v>
      </c>
      <c r="C24" s="345"/>
      <c r="D24" s="345"/>
      <c r="E24" s="345"/>
      <c r="F24" s="345"/>
      <c r="G24" s="345"/>
    </row>
    <row r="25" spans="2:12" x14ac:dyDescent="0.3">
      <c r="B25" s="346" t="s">
        <v>21</v>
      </c>
      <c r="C25" s="346" t="s">
        <v>22</v>
      </c>
      <c r="D25" s="346"/>
      <c r="E25" s="346" t="s">
        <v>23</v>
      </c>
      <c r="F25" s="346" t="s">
        <v>24</v>
      </c>
      <c r="G25" s="346"/>
      <c r="J25" s="189" t="s">
        <v>91</v>
      </c>
      <c r="K25" s="190">
        <f>IF($C$9&gt;D29,IF($C$9&gt;D30,IF($C$9&gt;D31,IF($C$9&gt;D32,IF($C$9&gt;D33,IF($C$9&gt;D34,IF($C$9&gt;D35,IF($C$9&gt;D36,IF($C$9&gt;D37,IF($C$9&gt;D38,IF($C$9&gt;D39,E40,E39),E37),E36),E35),E34),E33),100),E32),E31),E30),E29)</f>
        <v>403845.93</v>
      </c>
      <c r="L25" s="191">
        <f>VLOOKUP(K25,E29:G40,2,FALSE)</f>
        <v>0.15090000000000001</v>
      </c>
    </row>
    <row r="26" spans="2:12" x14ac:dyDescent="0.3">
      <c r="B26" s="346"/>
      <c r="C26" s="10"/>
      <c r="D26" s="10"/>
      <c r="E26" s="346"/>
      <c r="F26" s="10"/>
      <c r="G26" s="10"/>
      <c r="J26" s="77" t="s">
        <v>95</v>
      </c>
      <c r="K26" s="5">
        <f>K25+L27</f>
        <v>645285.77910000004</v>
      </c>
      <c r="L26" s="192">
        <f>VLOOKUP(K25,E29:G40,3,FALSE)</f>
        <v>2000001</v>
      </c>
    </row>
    <row r="27" spans="2:12" x14ac:dyDescent="0.3">
      <c r="B27" s="346"/>
      <c r="C27" s="10" t="s">
        <v>25</v>
      </c>
      <c r="D27" s="10" t="s">
        <v>26</v>
      </c>
      <c r="E27" s="346"/>
      <c r="F27" s="10" t="s">
        <v>27</v>
      </c>
      <c r="G27" s="10" t="s">
        <v>28</v>
      </c>
      <c r="J27" s="193"/>
      <c r="K27" s="194" t="s">
        <v>121</v>
      </c>
      <c r="L27" s="195">
        <f>(C9-L26)*L25</f>
        <v>241439.84910000002</v>
      </c>
    </row>
    <row r="28" spans="2:12" x14ac:dyDescent="0.3">
      <c r="B28" s="346"/>
      <c r="C28" s="10" t="s">
        <v>29</v>
      </c>
      <c r="D28" s="10" t="s">
        <v>30</v>
      </c>
      <c r="E28" s="10" t="s">
        <v>31</v>
      </c>
      <c r="F28" s="10" t="s">
        <v>32</v>
      </c>
      <c r="G28" s="10" t="s">
        <v>33</v>
      </c>
    </row>
    <row r="29" spans="2:12" x14ac:dyDescent="0.3">
      <c r="B29" s="11">
        <v>1</v>
      </c>
      <c r="C29" s="12">
        <v>1</v>
      </c>
      <c r="D29" s="12">
        <v>200000</v>
      </c>
      <c r="E29" s="12">
        <v>15798.28</v>
      </c>
      <c r="F29" s="13">
        <v>0.24410000000000001</v>
      </c>
      <c r="G29" s="12">
        <v>1</v>
      </c>
    </row>
    <row r="30" spans="2:12" x14ac:dyDescent="0.3">
      <c r="B30" s="11">
        <v>2</v>
      </c>
      <c r="C30" s="12">
        <v>200001</v>
      </c>
      <c r="D30" s="12">
        <v>650000</v>
      </c>
      <c r="E30" s="12">
        <v>64622.16</v>
      </c>
      <c r="F30" s="13">
        <v>0.23469999999999999</v>
      </c>
      <c r="G30" s="12">
        <v>200001</v>
      </c>
    </row>
    <row r="31" spans="2:12" x14ac:dyDescent="0.3">
      <c r="B31" s="11">
        <v>3</v>
      </c>
      <c r="C31" s="12">
        <v>650001</v>
      </c>
      <c r="D31" s="12">
        <v>2000000</v>
      </c>
      <c r="E31" s="12">
        <v>170206.35</v>
      </c>
      <c r="F31" s="13">
        <v>0.1731</v>
      </c>
      <c r="G31" s="12">
        <v>650001</v>
      </c>
      <c r="K31" s="5"/>
    </row>
    <row r="32" spans="2:12" x14ac:dyDescent="0.3">
      <c r="B32" s="11">
        <v>4</v>
      </c>
      <c r="C32" s="12">
        <v>2000001</v>
      </c>
      <c r="D32" s="12">
        <v>4000000</v>
      </c>
      <c r="E32" s="12">
        <v>403845.93</v>
      </c>
      <c r="F32" s="13">
        <v>0.15090000000000001</v>
      </c>
      <c r="G32" s="12">
        <v>2000001</v>
      </c>
    </row>
    <row r="33" spans="2:12" x14ac:dyDescent="0.3">
      <c r="B33" s="11">
        <v>5</v>
      </c>
      <c r="C33" s="12">
        <v>4000001</v>
      </c>
      <c r="D33" s="12">
        <v>6500000</v>
      </c>
      <c r="E33" s="12">
        <v>705596.92</v>
      </c>
      <c r="F33" s="13">
        <v>0.1469</v>
      </c>
      <c r="G33" s="12">
        <v>4000001</v>
      </c>
    </row>
    <row r="34" spans="2:12" x14ac:dyDescent="0.3">
      <c r="B34" s="11">
        <v>6</v>
      </c>
      <c r="C34" s="12">
        <v>6500001</v>
      </c>
      <c r="D34" s="12">
        <v>13000000</v>
      </c>
      <c r="E34" s="12">
        <v>1072897.8700000001</v>
      </c>
      <c r="F34" s="13">
        <v>0.12759999999999999</v>
      </c>
      <c r="G34" s="12">
        <v>6500001</v>
      </c>
      <c r="L34" s="56"/>
    </row>
    <row r="35" spans="2:12" x14ac:dyDescent="0.3">
      <c r="B35" s="11">
        <v>7</v>
      </c>
      <c r="C35" s="12">
        <v>13000001</v>
      </c>
      <c r="D35" s="12">
        <v>40000000</v>
      </c>
      <c r="E35" s="12">
        <v>1901782.84</v>
      </c>
      <c r="F35" s="13">
        <v>0.12330000000000001</v>
      </c>
      <c r="G35" s="12">
        <v>13000001</v>
      </c>
      <c r="K35" s="91"/>
      <c r="L35" s="64"/>
    </row>
    <row r="36" spans="2:12" x14ac:dyDescent="0.3">
      <c r="B36" s="11">
        <v>8</v>
      </c>
      <c r="C36" s="12">
        <v>40000001</v>
      </c>
      <c r="D36" s="12">
        <v>130000000</v>
      </c>
      <c r="E36" s="12">
        <v>5230998.63</v>
      </c>
      <c r="F36" s="13">
        <v>0.12330000000000001</v>
      </c>
      <c r="G36" s="12">
        <v>40000001</v>
      </c>
    </row>
    <row r="37" spans="2:12" x14ac:dyDescent="0.3">
      <c r="B37" s="11">
        <v>9</v>
      </c>
      <c r="C37" s="12">
        <v>130000001</v>
      </c>
      <c r="D37" s="12">
        <v>260000000</v>
      </c>
      <c r="E37" s="12">
        <v>16321445.09</v>
      </c>
      <c r="F37" s="13">
        <v>0.1152</v>
      </c>
      <c r="G37" s="12">
        <v>130000001</v>
      </c>
      <c r="K37" s="91"/>
    </row>
    <row r="38" spans="2:12" x14ac:dyDescent="0.3">
      <c r="B38" s="11">
        <v>10</v>
      </c>
      <c r="C38" s="12">
        <v>260000001</v>
      </c>
      <c r="D38" s="12">
        <v>520000000</v>
      </c>
      <c r="E38" s="12">
        <v>31306890.75</v>
      </c>
      <c r="F38" s="13">
        <v>0.11260000000000001</v>
      </c>
      <c r="G38" s="12">
        <v>260000001</v>
      </c>
    </row>
    <row r="39" spans="2:12" x14ac:dyDescent="0.3">
      <c r="B39" s="11">
        <v>11</v>
      </c>
      <c r="C39" s="12">
        <v>520000001</v>
      </c>
      <c r="D39" s="12">
        <v>1040000000</v>
      </c>
      <c r="E39" s="12">
        <v>60593982.100000001</v>
      </c>
      <c r="F39" s="13">
        <v>0.10979999999999999</v>
      </c>
      <c r="G39" s="12">
        <v>520000001</v>
      </c>
      <c r="L39" s="5"/>
    </row>
    <row r="40" spans="2:12" x14ac:dyDescent="0.3">
      <c r="B40" s="11">
        <v>12</v>
      </c>
      <c r="C40" s="12">
        <v>1040000001</v>
      </c>
      <c r="D40" s="185"/>
      <c r="E40" s="12">
        <v>117678990.65000001</v>
      </c>
      <c r="F40" s="13">
        <v>0.1016</v>
      </c>
      <c r="G40" s="12">
        <v>1040000001</v>
      </c>
    </row>
    <row r="43" spans="2:12" x14ac:dyDescent="0.3">
      <c r="B43" s="58" t="s">
        <v>60</v>
      </c>
      <c r="C43" s="58"/>
      <c r="D43" s="58"/>
      <c r="E43" s="58"/>
      <c r="F43" s="58"/>
      <c r="G43" s="58"/>
    </row>
    <row r="44" spans="2:12" x14ac:dyDescent="0.3">
      <c r="B44" s="10" t="s">
        <v>21</v>
      </c>
      <c r="C44" s="10" t="s">
        <v>22</v>
      </c>
      <c r="D44" s="10"/>
      <c r="E44" s="10" t="s">
        <v>23</v>
      </c>
      <c r="F44" s="203" t="s">
        <v>24</v>
      </c>
      <c r="G44" s="204"/>
      <c r="J44" s="189" t="s">
        <v>91</v>
      </c>
      <c r="K44" s="190">
        <f>IF($C$9&gt;D48,IF($C$9&gt;D49,IF($C$9&gt;D50,IF($C$9&gt;D51,IF($C$9&gt;D52,IF($C$9&gt;D53,IF($C$9&gt;D54,IF($C$9&gt;D55,IF($C$9&gt;D56,IF($C$9&gt;D57,IF($C$9&gt;D58,E59,E58),E57),E56),E55),E54),E53),100),E51),E50),E49),E48)</f>
        <v>346886.84</v>
      </c>
      <c r="L44" s="191">
        <f>VLOOKUP(K44,E48:G59,2,FALSE)</f>
        <v>0.12959999999999999</v>
      </c>
    </row>
    <row r="45" spans="2:12" x14ac:dyDescent="0.3">
      <c r="B45" s="10"/>
      <c r="C45" s="10"/>
      <c r="D45" s="10"/>
      <c r="E45" s="10"/>
      <c r="F45" s="10"/>
      <c r="G45" s="10"/>
      <c r="J45" s="77" t="s">
        <v>95</v>
      </c>
      <c r="K45" s="5">
        <f>K44+L46</f>
        <v>554246.71039999998</v>
      </c>
      <c r="L45" s="192">
        <f>VLOOKUP(K44,E48:G59,3,FALSE)</f>
        <v>2000001</v>
      </c>
    </row>
    <row r="46" spans="2:12" x14ac:dyDescent="0.3">
      <c r="B46" s="10"/>
      <c r="C46" s="10" t="s">
        <v>25</v>
      </c>
      <c r="D46" s="10" t="s">
        <v>26</v>
      </c>
      <c r="E46" s="10"/>
      <c r="F46" s="10" t="s">
        <v>27</v>
      </c>
      <c r="G46" s="10" t="s">
        <v>28</v>
      </c>
      <c r="J46" s="193"/>
      <c r="K46" s="194" t="s">
        <v>121</v>
      </c>
      <c r="L46" s="195">
        <f>(C9-L45)*L44</f>
        <v>207359.87039999999</v>
      </c>
    </row>
    <row r="47" spans="2:12" x14ac:dyDescent="0.3">
      <c r="B47" s="10"/>
      <c r="C47" s="10" t="s">
        <v>29</v>
      </c>
      <c r="D47" s="10" t="s">
        <v>30</v>
      </c>
      <c r="E47" s="10" t="s">
        <v>31</v>
      </c>
      <c r="F47" s="10" t="s">
        <v>32</v>
      </c>
      <c r="G47" s="10" t="s">
        <v>33</v>
      </c>
    </row>
    <row r="48" spans="2:12" x14ac:dyDescent="0.3">
      <c r="B48" s="11">
        <v>1</v>
      </c>
      <c r="C48" s="12">
        <v>1</v>
      </c>
      <c r="D48" s="12">
        <v>200000</v>
      </c>
      <c r="E48" s="68">
        <v>13570.07</v>
      </c>
      <c r="F48" s="13">
        <v>0.20960000000000001</v>
      </c>
      <c r="G48" s="12">
        <v>1</v>
      </c>
    </row>
    <row r="49" spans="2:12" x14ac:dyDescent="0.3">
      <c r="B49" s="11">
        <v>2</v>
      </c>
      <c r="C49" s="12">
        <v>200001</v>
      </c>
      <c r="D49" s="12">
        <v>650000</v>
      </c>
      <c r="E49" s="68">
        <v>55507.74</v>
      </c>
      <c r="F49" s="13">
        <v>0.2016</v>
      </c>
      <c r="G49" s="12">
        <v>200001</v>
      </c>
    </row>
    <row r="50" spans="2:12" x14ac:dyDescent="0.3">
      <c r="B50" s="11">
        <v>3</v>
      </c>
      <c r="C50" s="12">
        <v>650001</v>
      </c>
      <c r="D50" s="12">
        <v>2000000</v>
      </c>
      <c r="E50" s="68">
        <v>146200.15</v>
      </c>
      <c r="F50" s="13">
        <v>0.1487</v>
      </c>
      <c r="G50" s="12">
        <v>650001</v>
      </c>
    </row>
    <row r="51" spans="2:12" x14ac:dyDescent="0.3">
      <c r="B51" s="11">
        <v>4</v>
      </c>
      <c r="C51" s="12">
        <v>2000001</v>
      </c>
      <c r="D51" s="12">
        <v>4000000</v>
      </c>
      <c r="E51" s="68">
        <v>346886.84</v>
      </c>
      <c r="F51" s="13">
        <v>0.12959999999999999</v>
      </c>
      <c r="G51" s="12">
        <v>2000001</v>
      </c>
    </row>
    <row r="52" spans="2:12" x14ac:dyDescent="0.3">
      <c r="B52" s="11">
        <v>5</v>
      </c>
      <c r="C52" s="12">
        <v>4000001</v>
      </c>
      <c r="D52" s="12">
        <v>6500000</v>
      </c>
      <c r="E52" s="68">
        <v>606078.35</v>
      </c>
      <c r="F52" s="13">
        <v>0.12620000000000001</v>
      </c>
      <c r="G52" s="12">
        <v>4000001</v>
      </c>
      <c r="K52" s="5"/>
      <c r="L52" s="96"/>
    </row>
    <row r="53" spans="2:12" x14ac:dyDescent="0.3">
      <c r="B53" s="11">
        <v>6</v>
      </c>
      <c r="C53" s="12">
        <v>6500001</v>
      </c>
      <c r="D53" s="12">
        <v>13000000</v>
      </c>
      <c r="E53" s="68">
        <v>921574.57</v>
      </c>
      <c r="F53" s="13">
        <v>0.1095</v>
      </c>
      <c r="G53" s="12">
        <v>6500001</v>
      </c>
    </row>
    <row r="54" spans="2:12" x14ac:dyDescent="0.3">
      <c r="B54" s="11">
        <v>7</v>
      </c>
      <c r="C54" s="12">
        <v>13000001</v>
      </c>
      <c r="D54" s="12">
        <v>40000000</v>
      </c>
      <c r="E54" s="68">
        <v>1633552.23</v>
      </c>
      <c r="F54" s="13">
        <v>0.106</v>
      </c>
      <c r="G54" s="12">
        <v>13000001</v>
      </c>
      <c r="L54" s="5"/>
    </row>
    <row r="55" spans="2:12" x14ac:dyDescent="0.3">
      <c r="B55" s="11">
        <v>8</v>
      </c>
      <c r="C55" s="12">
        <v>40000001</v>
      </c>
      <c r="D55" s="12">
        <v>130000000</v>
      </c>
      <c r="E55" s="68">
        <v>4493209.93</v>
      </c>
      <c r="F55" s="13">
        <v>0.10589999999999999</v>
      </c>
      <c r="G55" s="12">
        <v>40000001</v>
      </c>
    </row>
    <row r="56" spans="2:12" x14ac:dyDescent="0.3">
      <c r="B56" s="11">
        <v>9</v>
      </c>
      <c r="C56" s="12">
        <v>130000001</v>
      </c>
      <c r="D56" s="12">
        <v>260000000</v>
      </c>
      <c r="E56" s="68">
        <v>14019441.470000001</v>
      </c>
      <c r="F56" s="13">
        <v>9.9099999999999994E-2</v>
      </c>
      <c r="G56" s="12">
        <v>130000001</v>
      </c>
      <c r="K56" s="5"/>
      <c r="L56" s="5"/>
    </row>
    <row r="57" spans="2:12" x14ac:dyDescent="0.3">
      <c r="B57" s="11">
        <v>10</v>
      </c>
      <c r="C57" s="12">
        <v>260000001</v>
      </c>
      <c r="D57" s="12">
        <v>520000000</v>
      </c>
      <c r="E57" s="68">
        <v>26891315.09</v>
      </c>
      <c r="F57" s="13">
        <v>9.6799999999999997E-2</v>
      </c>
      <c r="G57" s="12">
        <v>260000001</v>
      </c>
    </row>
    <row r="58" spans="2:12" x14ac:dyDescent="0.3">
      <c r="B58" s="11">
        <v>11</v>
      </c>
      <c r="C58" s="12">
        <v>520000001</v>
      </c>
      <c r="D58" s="12">
        <v>1040000000</v>
      </c>
      <c r="E58" s="12">
        <v>52047706.609999999</v>
      </c>
      <c r="F58" s="13">
        <v>9.4299999999999995E-2</v>
      </c>
      <c r="G58" s="12">
        <v>520000001</v>
      </c>
    </row>
    <row r="59" spans="2:12" x14ac:dyDescent="0.3">
      <c r="B59" s="11">
        <v>12</v>
      </c>
      <c r="C59" s="12">
        <v>1040000001</v>
      </c>
      <c r="D59" s="185"/>
      <c r="E59" s="12">
        <v>101081351.13</v>
      </c>
      <c r="F59" s="13">
        <v>8.7099999999999997E-2</v>
      </c>
      <c r="G59" s="12">
        <v>1040000001</v>
      </c>
    </row>
    <row r="60" spans="2:12" x14ac:dyDescent="0.3">
      <c r="B60" s="97"/>
      <c r="C60" s="186"/>
      <c r="D60" s="187"/>
      <c r="E60" s="186"/>
      <c r="F60" s="188"/>
      <c r="G60" s="186"/>
      <c r="L60" s="56"/>
    </row>
    <row r="61" spans="2:12" x14ac:dyDescent="0.3">
      <c r="K61" s="91"/>
      <c r="L61" s="64"/>
    </row>
    <row r="62" spans="2:12" x14ac:dyDescent="0.3">
      <c r="B62" s="58" t="s">
        <v>120</v>
      </c>
      <c r="C62" s="58"/>
      <c r="D62" s="58"/>
      <c r="E62" s="58"/>
      <c r="F62" s="58"/>
      <c r="G62" s="58"/>
    </row>
    <row r="63" spans="2:12" x14ac:dyDescent="0.3">
      <c r="B63" s="10" t="s">
        <v>21</v>
      </c>
      <c r="C63" s="10" t="s">
        <v>22</v>
      </c>
      <c r="D63" s="10"/>
      <c r="E63" s="10" t="s">
        <v>23</v>
      </c>
      <c r="F63" s="203" t="s">
        <v>24</v>
      </c>
      <c r="G63" s="204"/>
      <c r="J63" s="189" t="s">
        <v>91</v>
      </c>
      <c r="K63" s="190">
        <f>IF($C$9&gt;D67,IF($C$9&gt;D68,IF($C$9&gt;D69,IF($C$9&gt;D70,IF($C$9&gt;D71,IF($C$9&gt;D72,IF($C$9&gt;D73,IF($C$9&gt;D74,IF($C$9&gt;D75,IF($C$9&gt;D76,IF($C$9&gt;D77,E78,E77),E76),E75),E74),E73),E72),100),E70),E69),E68),E67)</f>
        <v>289927.74</v>
      </c>
      <c r="L63" s="191">
        <f>VLOOKUP(K63,E67:G78,2,FALSE)</f>
        <v>0.10829999999999999</v>
      </c>
    </row>
    <row r="64" spans="2:12" x14ac:dyDescent="0.3">
      <c r="B64" s="10"/>
      <c r="C64" s="10"/>
      <c r="D64" s="10"/>
      <c r="E64" s="10"/>
      <c r="F64" s="10"/>
      <c r="G64" s="10"/>
      <c r="J64" s="77" t="s">
        <v>95</v>
      </c>
      <c r="K64" s="5">
        <f>K63+L65</f>
        <v>463207.63169999997</v>
      </c>
      <c r="L64" s="192">
        <f>VLOOKUP(K63,E67:G78,3,FALSE)</f>
        <v>2000001</v>
      </c>
    </row>
    <row r="65" spans="2:12" x14ac:dyDescent="0.3">
      <c r="B65" s="10"/>
      <c r="C65" s="10" t="s">
        <v>25</v>
      </c>
      <c r="D65" s="10" t="s">
        <v>26</v>
      </c>
      <c r="E65" s="10"/>
      <c r="F65" s="10" t="s">
        <v>27</v>
      </c>
      <c r="G65" s="10" t="s">
        <v>28</v>
      </c>
      <c r="J65" s="193"/>
      <c r="K65" s="194" t="s">
        <v>121</v>
      </c>
      <c r="L65" s="195">
        <f>(C9-L64)*L63</f>
        <v>173279.89169999998</v>
      </c>
    </row>
    <row r="66" spans="2:12" x14ac:dyDescent="0.3">
      <c r="B66" s="10"/>
      <c r="C66" s="10" t="s">
        <v>29</v>
      </c>
      <c r="D66" s="10" t="s">
        <v>30</v>
      </c>
      <c r="E66" s="10" t="s">
        <v>31</v>
      </c>
      <c r="F66" s="10" t="s">
        <v>32</v>
      </c>
      <c r="G66" s="10" t="s">
        <v>33</v>
      </c>
    </row>
    <row r="67" spans="2:12" x14ac:dyDescent="0.3">
      <c r="B67" s="11">
        <v>1</v>
      </c>
      <c r="C67" s="12">
        <v>1</v>
      </c>
      <c r="D67" s="12">
        <v>200000</v>
      </c>
      <c r="E67" s="68">
        <v>11341.85</v>
      </c>
      <c r="F67" s="13">
        <v>0.17530000000000001</v>
      </c>
      <c r="G67" s="12">
        <v>1</v>
      </c>
    </row>
    <row r="68" spans="2:12" x14ac:dyDescent="0.3">
      <c r="B68" s="11">
        <v>2</v>
      </c>
      <c r="C68" s="12">
        <v>200001</v>
      </c>
      <c r="D68" s="12">
        <v>650000</v>
      </c>
      <c r="E68" s="68">
        <v>46393.33</v>
      </c>
      <c r="F68" s="13">
        <v>0.16850000000000001</v>
      </c>
      <c r="G68" s="12">
        <v>200001</v>
      </c>
    </row>
    <row r="69" spans="2:12" x14ac:dyDescent="0.3">
      <c r="B69" s="11">
        <v>3</v>
      </c>
      <c r="C69" s="12">
        <v>650001</v>
      </c>
      <c r="D69" s="12">
        <v>2000000</v>
      </c>
      <c r="E69" s="68">
        <v>122193.97</v>
      </c>
      <c r="F69" s="13">
        <v>0.12429999999999999</v>
      </c>
      <c r="G69" s="12">
        <v>650001</v>
      </c>
    </row>
    <row r="70" spans="2:12" x14ac:dyDescent="0.3">
      <c r="B70" s="11">
        <v>4</v>
      </c>
      <c r="C70" s="12">
        <v>2000001</v>
      </c>
      <c r="D70" s="12">
        <v>4000000</v>
      </c>
      <c r="E70" s="68">
        <v>289927.74</v>
      </c>
      <c r="F70" s="13">
        <v>0.10829999999999999</v>
      </c>
      <c r="G70" s="12">
        <v>2000001</v>
      </c>
    </row>
    <row r="71" spans="2:12" x14ac:dyDescent="0.3">
      <c r="B71" s="11">
        <v>5</v>
      </c>
      <c r="C71" s="12">
        <v>4000001</v>
      </c>
      <c r="D71" s="12">
        <v>6500000</v>
      </c>
      <c r="E71" s="68">
        <v>506559.8</v>
      </c>
      <c r="F71" s="13">
        <v>0.1055</v>
      </c>
      <c r="G71" s="12">
        <v>4000001</v>
      </c>
    </row>
    <row r="72" spans="2:12" x14ac:dyDescent="0.3">
      <c r="B72" s="11">
        <v>6</v>
      </c>
      <c r="C72" s="12">
        <v>6500001</v>
      </c>
      <c r="D72" s="12">
        <v>13000000</v>
      </c>
      <c r="E72" s="68">
        <v>770251.28</v>
      </c>
      <c r="F72" s="13">
        <v>9.1600000000000001E-2</v>
      </c>
      <c r="G72" s="12">
        <v>6500001</v>
      </c>
    </row>
    <row r="73" spans="2:12" x14ac:dyDescent="0.3">
      <c r="B73" s="11">
        <v>7</v>
      </c>
      <c r="C73" s="12">
        <v>13000001</v>
      </c>
      <c r="D73" s="12">
        <v>40000000</v>
      </c>
      <c r="E73" s="68">
        <v>1365321.64</v>
      </c>
      <c r="F73" s="13">
        <v>8.8599999999999998E-2</v>
      </c>
      <c r="G73" s="12">
        <v>13000001</v>
      </c>
    </row>
    <row r="74" spans="2:12" x14ac:dyDescent="0.3">
      <c r="B74" s="11">
        <v>8</v>
      </c>
      <c r="C74" s="12">
        <v>40000001</v>
      </c>
      <c r="D74" s="12">
        <v>130000000</v>
      </c>
      <c r="E74" s="68">
        <v>3755421.23</v>
      </c>
      <c r="F74" s="13">
        <v>8.8499999999999995E-2</v>
      </c>
      <c r="G74" s="12">
        <v>40000001</v>
      </c>
    </row>
    <row r="75" spans="2:12" x14ac:dyDescent="0.3">
      <c r="B75" s="11">
        <v>9</v>
      </c>
      <c r="C75" s="12">
        <v>130000001</v>
      </c>
      <c r="D75" s="12">
        <v>260000000</v>
      </c>
      <c r="E75" s="68">
        <v>11717437.859999999</v>
      </c>
      <c r="F75" s="13">
        <v>8.2799999999999999E-2</v>
      </c>
      <c r="G75" s="12">
        <v>130000001</v>
      </c>
    </row>
    <row r="76" spans="2:12" x14ac:dyDescent="0.3">
      <c r="B76" s="11">
        <v>10</v>
      </c>
      <c r="C76" s="12">
        <v>260000001</v>
      </c>
      <c r="D76" s="12">
        <v>520000000</v>
      </c>
      <c r="E76" s="68">
        <v>22475739.420000002</v>
      </c>
      <c r="F76" s="13">
        <v>8.0799999999999997E-2</v>
      </c>
      <c r="G76" s="12">
        <v>260000001</v>
      </c>
    </row>
    <row r="77" spans="2:12" x14ac:dyDescent="0.3">
      <c r="B77" s="11">
        <v>11</v>
      </c>
      <c r="C77" s="12">
        <v>520000001</v>
      </c>
      <c r="D77" s="12">
        <v>1040000000</v>
      </c>
      <c r="E77" s="12">
        <v>43501431.140000001</v>
      </c>
      <c r="F77" s="13">
        <v>7.8799999999999995E-2</v>
      </c>
      <c r="G77" s="12">
        <v>520000001</v>
      </c>
    </row>
    <row r="78" spans="2:12" x14ac:dyDescent="0.3">
      <c r="B78" s="11">
        <v>12</v>
      </c>
      <c r="C78" s="12">
        <v>1040000001</v>
      </c>
      <c r="D78" s="185"/>
      <c r="E78" s="12">
        <v>84483711.590000004</v>
      </c>
      <c r="F78" s="13">
        <v>7.2800000000000004E-2</v>
      </c>
      <c r="G78" s="12">
        <v>1040000001</v>
      </c>
    </row>
  </sheetData>
  <mergeCells count="7">
    <mergeCell ref="N14:O14"/>
    <mergeCell ref="B13:C13"/>
    <mergeCell ref="B24:G24"/>
    <mergeCell ref="B25:B28"/>
    <mergeCell ref="C25:D25"/>
    <mergeCell ref="E25:E27"/>
    <mergeCell ref="F25:G25"/>
  </mergeCells>
  <dataValidations count="1">
    <dataValidation type="list" allowBlank="1" showInputMessage="1" showErrorMessage="1" sqref="C10" xr:uid="{03750D31-ED8A-45CA-85DB-AA99AA3D6CE0}">
      <formula1>"Low,Medium,High"</formula1>
    </dataValidation>
  </dataValidation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Employees</vt:lpstr>
      <vt:lpstr> Fees (SDP)</vt:lpstr>
      <vt:lpstr>Fees (MS)</vt:lpstr>
      <vt:lpstr>4.2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</dc:creator>
  <cp:lastModifiedBy>Dewald Potgieter</cp:lastModifiedBy>
  <cp:lastPrinted>2022-09-21T07:15:25Z</cp:lastPrinted>
  <dcterms:created xsi:type="dcterms:W3CDTF">2022-07-11T17:42:49Z</dcterms:created>
  <dcterms:modified xsi:type="dcterms:W3CDTF">2024-07-10T14:06:15Z</dcterms:modified>
</cp:coreProperties>
</file>