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x013_Hildegarde Hoff\"/>
    </mc:Choice>
  </mc:AlternateContent>
  <xr:revisionPtr revIDLastSave="0" documentId="13_ncr:1_{B1B686A7-EB00-499C-9730-381905A57928}" xr6:coauthVersionLast="47" xr6:coauthVersionMax="47" xr10:uidLastSave="{00000000-0000-0000-0000-000000000000}"/>
  <bookViews>
    <workbookView xWindow="-120" yWindow="-120" windowWidth="20730" windowHeight="11160" activeTab="1" xr2:uid="{A6C45247-5310-4588-876B-0369C11A1526}"/>
  </bookViews>
  <sheets>
    <sheet name="Employees" sheetId="6" r:id="rId1"/>
    <sheet name="Fees" sheetId="7" r:id="rId2"/>
    <sheet name="Data" sheetId="5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7" l="1"/>
  <c r="H41" i="7"/>
  <c r="H44" i="7"/>
  <c r="H45" i="7"/>
  <c r="H46" i="7"/>
  <c r="H43" i="7"/>
  <c r="G41" i="7"/>
  <c r="F41" i="7"/>
  <c r="E17" i="7"/>
  <c r="F17" i="7"/>
  <c r="G20" i="7"/>
  <c r="H17" i="7" l="1"/>
  <c r="H60" i="7" l="1"/>
  <c r="H64" i="7" s="1"/>
  <c r="E66" i="7" s="1"/>
  <c r="E71" i="7" s="1"/>
  <c r="E72" i="7" s="1"/>
  <c r="H107" i="7"/>
  <c r="F92" i="7"/>
  <c r="K89" i="7"/>
  <c r="M65" i="7"/>
  <c r="M64" i="7"/>
  <c r="G64" i="7"/>
  <c r="M63" i="7"/>
  <c r="M62" i="7"/>
  <c r="M61" i="7"/>
  <c r="M60" i="7"/>
  <c r="M59" i="7"/>
  <c r="M58" i="7"/>
  <c r="K45" i="7"/>
  <c r="H38" i="7"/>
  <c r="H37" i="7"/>
  <c r="F25" i="7"/>
  <c r="E25" i="7"/>
  <c r="F24" i="7"/>
  <c r="H24" i="7" s="1"/>
  <c r="F23" i="7"/>
  <c r="E23" i="7"/>
  <c r="F22" i="7"/>
  <c r="E22" i="7"/>
  <c r="F16" i="7"/>
  <c r="E16" i="7"/>
  <c r="G15" i="7"/>
  <c r="M26" i="7" s="1"/>
  <c r="K21" i="6"/>
  <c r="F15" i="6"/>
  <c r="G15" i="6" s="1"/>
  <c r="C21" i="6" s="1"/>
  <c r="E21" i="6" s="1"/>
  <c r="G21" i="6" s="1"/>
  <c r="H21" i="6" s="1"/>
  <c r="G14" i="6"/>
  <c r="C20" i="6" s="1"/>
  <c r="E20" i="6" s="1"/>
  <c r="G20" i="6" s="1"/>
  <c r="H20" i="6" s="1"/>
  <c r="F14" i="6"/>
  <c r="F13" i="6"/>
  <c r="G13" i="6" s="1"/>
  <c r="C19" i="6" s="1"/>
  <c r="E19" i="6" s="1"/>
  <c r="G19" i="6" s="1"/>
  <c r="H19" i="6" s="1"/>
  <c r="H36" i="7" l="1"/>
  <c r="H48" i="7" s="1"/>
  <c r="H50" i="7" s="1"/>
  <c r="F20" i="7"/>
  <c r="F15" i="7" s="1"/>
  <c r="H22" i="7"/>
  <c r="M66" i="7"/>
  <c r="H16" i="7"/>
  <c r="H15" i="7" s="1"/>
  <c r="H23" i="7"/>
  <c r="H20" i="7" l="1"/>
  <c r="E73" i="7"/>
  <c r="E75" i="7" s="1"/>
  <c r="H27" i="7" l="1"/>
  <c r="H29" i="7" s="1"/>
  <c r="F84" i="7"/>
  <c r="H84" i="7" s="1"/>
  <c r="F80" i="7"/>
  <c r="H80" i="7" s="1"/>
  <c r="F83" i="7"/>
  <c r="H83" i="7" s="1"/>
  <c r="F81" i="7"/>
  <c r="H81" i="7" s="1"/>
  <c r="F79" i="7"/>
  <c r="H79" i="7" s="1"/>
  <c r="F82" i="7"/>
  <c r="H82" i="7" s="1"/>
  <c r="F78" i="7"/>
  <c r="H92" i="7" l="1"/>
  <c r="H97" i="7" s="1"/>
  <c r="H87" i="7"/>
  <c r="H78" i="7"/>
  <c r="H100" i="7" l="1"/>
  <c r="H94" i="7"/>
  <c r="F94" i="7" s="1"/>
  <c r="H99" i="7"/>
  <c r="H98" i="7"/>
  <c r="H86" i="7"/>
  <c r="H89" i="7" s="1"/>
  <c r="H105" i="7" l="1"/>
  <c r="I54" i="5" l="1"/>
  <c r="J55" i="5" s="1"/>
  <c r="I35" i="5"/>
  <c r="J36" i="5" s="1"/>
  <c r="J18" i="5"/>
  <c r="I16" i="5"/>
  <c r="J16" i="5" s="1"/>
  <c r="B7" i="5"/>
  <c r="B8" i="5" s="1"/>
  <c r="J54" i="5" l="1"/>
  <c r="J56" i="5" s="1"/>
  <c r="J35" i="5"/>
  <c r="J37" i="5" s="1"/>
  <c r="J17" i="5"/>
  <c r="B9" i="5"/>
  <c r="B11" i="5" l="1"/>
  <c r="H28" i="7" l="1"/>
  <c r="M29" i="7" l="1"/>
  <c r="J33" i="7"/>
  <c r="L43" i="7" l="1"/>
  <c r="L42" i="7"/>
  <c r="K33" i="7"/>
  <c r="L33" i="7" s="1"/>
  <c r="L44" i="7"/>
  <c r="L45" i="7" l="1"/>
  <c r="N33" i="7"/>
  <c r="M33" i="7" s="1"/>
  <c r="M35" i="7" l="1"/>
  <c r="M37" i="7" s="1"/>
</calcChain>
</file>

<file path=xl/sharedStrings.xml><?xml version="1.0" encoding="utf-8"?>
<sst xmlns="http://schemas.openxmlformats.org/spreadsheetml/2006/main" count="201" uniqueCount="137">
  <si>
    <t>Total</t>
  </si>
  <si>
    <t>Estimated Build Cost: (For Cost Based Fees)</t>
  </si>
  <si>
    <t>Building</t>
  </si>
  <si>
    <t>Project Cost</t>
  </si>
  <si>
    <t>Complexity</t>
  </si>
  <si>
    <t>Primary Fee</t>
  </si>
  <si>
    <t>Secondary fee</t>
  </si>
  <si>
    <t>Stages 1 - 6</t>
  </si>
  <si>
    <t>Work Stages</t>
  </si>
  <si>
    <t>Municipal Submission</t>
  </si>
  <si>
    <t>Stage 4.1</t>
  </si>
  <si>
    <t>Low</t>
  </si>
  <si>
    <t>% of Fee</t>
  </si>
  <si>
    <t>Est. Build cost</t>
  </si>
  <si>
    <t>Final Fees (ex VAT)</t>
  </si>
  <si>
    <t>Cost Bracket</t>
  </si>
  <si>
    <t>Value of Works</t>
  </si>
  <si>
    <t>Plus Secondary Fee</t>
  </si>
  <si>
    <t>(Project - E) * D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</si>
  <si>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</si>
  <si>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</si>
  <si>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</si>
  <si>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</si>
  <si>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</si>
  <si>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</si>
  <si>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</si>
  <si>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</si>
  <si>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</si>
  <si>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Professional Fees: (ex. VAT)</t>
  </si>
  <si>
    <t>Additional Services</t>
  </si>
  <si>
    <t>Total (Stages 1 - 6)</t>
  </si>
  <si>
    <r>
      <t xml:space="preserve">Table 1: Project Cost-based Fee </t>
    </r>
    <r>
      <rPr>
        <b/>
        <sz val="12"/>
        <color indexed="10"/>
        <rFont val="Century Gothic"/>
        <family val="2"/>
      </rPr>
      <t>HIGH COMPLEXITY</t>
    </r>
  </si>
  <si>
    <r>
      <t xml:space="preserve">Table 2: Project Cost-based Fee </t>
    </r>
    <r>
      <rPr>
        <b/>
        <sz val="12"/>
        <color indexed="10"/>
        <rFont val="Century Gothic"/>
        <family val="2"/>
      </rPr>
      <t>MEDIUM COMPLEXITY</t>
    </r>
  </si>
  <si>
    <r>
      <t xml:space="preserve">Table 2: Project Cost-based Fee </t>
    </r>
    <r>
      <rPr>
        <b/>
        <sz val="12"/>
        <color indexed="10"/>
        <rFont val="Century Gothic"/>
        <family val="2"/>
      </rPr>
      <t>LOW COMPLEXITY</t>
    </r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</si>
  <si>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</si>
  <si>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t>Nr.</t>
  </si>
  <si>
    <t>Name</t>
  </si>
  <si>
    <t>Position</t>
  </si>
  <si>
    <t>Gross Salary</t>
  </si>
  <si>
    <t>Growth Contribution</t>
  </si>
  <si>
    <t>Total:</t>
  </si>
  <si>
    <t>Hannes Gouws</t>
  </si>
  <si>
    <t>Director</t>
  </si>
  <si>
    <t>Dewald Potgieter</t>
  </si>
  <si>
    <t>Johan Hugo</t>
  </si>
  <si>
    <t>Tech</t>
  </si>
  <si>
    <t>basic tech drawings only</t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</si>
  <si>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</si>
  <si>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</si>
  <si>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Total per day</t>
  </si>
  <si>
    <t>Hrs Per Day</t>
  </si>
  <si>
    <t>Per/Hr</t>
  </si>
  <si>
    <t>Company Fees</t>
  </si>
  <si>
    <t>Total hourly Rate</t>
  </si>
  <si>
    <t>Per Day Rate + Business Fees</t>
  </si>
  <si>
    <t>Hannes</t>
  </si>
  <si>
    <t>Dewald</t>
  </si>
  <si>
    <t>Snr. Tech</t>
  </si>
  <si>
    <t>Professional Fees Calculations:</t>
  </si>
  <si>
    <t>HOURLY FEES</t>
  </si>
  <si>
    <t>Min</t>
  </si>
  <si>
    <t>Professional Works</t>
  </si>
  <si>
    <t>Team Member</t>
  </si>
  <si>
    <t>Hrly Rate</t>
  </si>
  <si>
    <t>Est. Hrs</t>
  </si>
  <si>
    <t>Days</t>
  </si>
  <si>
    <t>Phase 1:</t>
  </si>
  <si>
    <t>Total Drawing Days</t>
  </si>
  <si>
    <t>Municipal Drawings and Submission</t>
  </si>
  <si>
    <t>Johan</t>
  </si>
  <si>
    <t>Admin</t>
  </si>
  <si>
    <t>Project Daily Rate</t>
  </si>
  <si>
    <t>Total Fees</t>
  </si>
  <si>
    <t>5% Business TAX</t>
  </si>
  <si>
    <t>Business (After TAX)</t>
  </si>
  <si>
    <t>Business (incl 15% Savings)</t>
  </si>
  <si>
    <t>Total Professional Fees:</t>
  </si>
  <si>
    <t>Discount:</t>
  </si>
  <si>
    <t>TOTAL:</t>
  </si>
  <si>
    <t>15% Savings</t>
  </si>
  <si>
    <t>Business Account:</t>
  </si>
  <si>
    <t>PER M² FEES</t>
  </si>
  <si>
    <t>Payment Terms</t>
  </si>
  <si>
    <t>percentages</t>
  </si>
  <si>
    <t>Amount</t>
  </si>
  <si>
    <t>m² Rate</t>
  </si>
  <si>
    <t xml:space="preserve">m² </t>
  </si>
  <si>
    <t>Deposit Payment</t>
  </si>
  <si>
    <t>Interim Payment</t>
  </si>
  <si>
    <t>Balance Payment</t>
  </si>
  <si>
    <t>Site Inspection + Form 4</t>
  </si>
  <si>
    <t>Handling of the occupation application</t>
  </si>
  <si>
    <t xml:space="preserve">Total Professional Fees: </t>
  </si>
  <si>
    <t>Master En-suite</t>
  </si>
  <si>
    <t>Price per item</t>
  </si>
  <si>
    <t>Items</t>
  </si>
  <si>
    <t>Totals</t>
  </si>
  <si>
    <t>Size (m²)</t>
  </si>
  <si>
    <t>Vanity</t>
  </si>
  <si>
    <t>plumbing points</t>
  </si>
  <si>
    <t>Basins</t>
  </si>
  <si>
    <t>Shower Panel</t>
  </si>
  <si>
    <t>Shower Mixer</t>
  </si>
  <si>
    <t xml:space="preserve"> </t>
  </si>
  <si>
    <t>Shower Rose</t>
  </si>
  <si>
    <t>Toilet</t>
  </si>
  <si>
    <t>bath</t>
  </si>
  <si>
    <t>Medium</t>
  </si>
  <si>
    <t>Additions and alterations Extra| N.A.</t>
  </si>
  <si>
    <t>Fee (ex VAT)</t>
  </si>
  <si>
    <t>Discount</t>
  </si>
  <si>
    <t>Inception</t>
  </si>
  <si>
    <t>Stage 1</t>
  </si>
  <si>
    <t>Concept design</t>
  </si>
  <si>
    <t>Stage 2</t>
  </si>
  <si>
    <t>Design Development</t>
  </si>
  <si>
    <t>Stage 3</t>
  </si>
  <si>
    <t>Tender &amp; Tech Drawings</t>
  </si>
  <si>
    <t>Stage 4.2</t>
  </si>
  <si>
    <t>Construction</t>
  </si>
  <si>
    <t>Stage 5</t>
  </si>
  <si>
    <t>Close - Out</t>
  </si>
  <si>
    <t>Stage 6</t>
  </si>
  <si>
    <t>Discount overall</t>
  </si>
  <si>
    <t>Total ex. Discount</t>
  </si>
  <si>
    <t xml:space="preserve">Total incl. Discount (ex.VAT) </t>
  </si>
  <si>
    <t>Monthly Fees</t>
  </si>
  <si>
    <t>Daily Rate (hrs a day):</t>
  </si>
  <si>
    <t>Months:</t>
  </si>
  <si>
    <t>Visit a month:</t>
  </si>
  <si>
    <t>Total Monthly Fees:</t>
  </si>
  <si>
    <t>Total Drawing Fees:</t>
  </si>
  <si>
    <t>Total Site visits:</t>
  </si>
  <si>
    <t>Employee (sub 2,4)</t>
  </si>
  <si>
    <t>Phase 2:</t>
  </si>
  <si>
    <t>Site Evaluation</t>
  </si>
  <si>
    <t>Floor plan (Size and design)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</si>
</sst>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&quot;R&quot;#,##0"/>
    <numFmt numFmtId="168" formatCode="General&quot; Months&quot;"/>
    <numFmt numFmtId="169" formatCode="0.00&quot; Days&quot;"/>
    <numFmt numFmtId="170" formatCode="General\ &quot;Visits&quot;"/>
    <numFmt numFmtId="171" formatCode="0.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Century Gothic"/>
      <family val="2"/>
    </font>
    <font>
      <b/>
      <sz val="14"/>
      <color rgb="FF000000"/>
      <name val="Century Gothic"/>
      <family val="2"/>
    </font>
    <font>
      <sz val="12"/>
      <color rgb="FF000000"/>
      <name val="Century Gothic"/>
      <family val="2"/>
    </font>
    <font>
      <sz val="11"/>
      <color rgb="FF000000"/>
      <name val="Century Gothic"/>
      <family val="2"/>
    </font>
    <font>
      <sz val="14"/>
      <color rgb="FF000000"/>
      <name val="Century Gothic"/>
      <family val="2"/>
    </font>
    <font>
      <sz val="14"/>
      <name val="Century Gothic"/>
      <family val="2"/>
    </font>
    <font>
      <b/>
      <sz val="14"/>
      <name val="Century Gothic"/>
      <family val="2"/>
    </font>
    <font>
      <sz val="12"/>
      <name val="Century Gothic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sz val="11"/>
      <color theme="1"/>
      <name val="Century Gothic"/>
      <family val="2"/>
    </font>
    <font>
      <b/>
      <sz val="12"/>
      <color rgb="FFFFFFFF"/>
      <name val="Century Gothic"/>
      <family val="2"/>
    </font>
    <font>
      <b/>
      <sz val="12"/>
      <color indexed="10"/>
      <name val="Century Gothic"/>
      <family val="2"/>
    </font>
    <font>
      <sz val="12"/>
      <color theme="1"/>
      <name val="Century Gothic"/>
      <family val="2"/>
    </font>
    <font>
      <b/>
      <sz val="16"/>
      <color theme="1"/>
      <name val="Century Gothic"/>
      <family val="2"/>
    </font>
    <font>
      <sz val="16"/>
      <color theme="1"/>
      <name val="Century Gothic"/>
      <family val="2"/>
    </font>
    <font>
      <sz val="14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2"/>
      <color rgb="FFFF0000"/>
      <name val="Century Gothic"/>
      <family val="2"/>
    </font>
    <font>
      <sz val="11"/>
      <color theme="1"/>
      <name val="Calibri"/>
      <family val="2"/>
    </font>
    <font>
      <b/>
      <sz val="16"/>
      <color rgb="FF000000"/>
      <name val="Century Gothic"/>
      <family val="2"/>
    </font>
    <font>
      <sz val="12"/>
      <color rgb="FF808080"/>
      <name val="Century Gothic"/>
      <family val="2"/>
    </font>
    <font>
      <b/>
      <i/>
      <sz val="11"/>
      <color rgb="FF000000"/>
      <name val="Century Gothic"/>
      <family val="2"/>
    </font>
    <font>
      <b/>
      <sz val="11"/>
      <color rgb="FF000000"/>
      <name val="Century Gothic"/>
      <family val="2"/>
    </font>
    <font>
      <b/>
      <sz val="11"/>
      <color rgb="FF000000"/>
      <name val="Calibri"/>
      <family val="2"/>
    </font>
    <font>
      <sz val="16"/>
      <color rgb="FF000000"/>
      <name val="Century Gothic"/>
      <family val="2"/>
    </font>
    <font>
      <sz val="10"/>
      <color rgb="FF000000"/>
      <name val="Century Gothic"/>
      <family val="2"/>
    </font>
  </fonts>
  <fills count="1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16D39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FF0000"/>
        <bgColor rgb="FF000000"/>
      </patternFill>
    </fill>
  </fills>
  <borders count="4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0" applyNumberFormat="0" applyBorder="0" applyAlignment="0" applyProtection="0"/>
  </cellStyleXfs>
  <cellXfs count="287">
    <xf numFmtId="0" fontId="0" fillId="0" borderId="0" xfId="0"/>
    <xf numFmtId="0" fontId="6" fillId="0" borderId="13" xfId="0" applyFont="1" applyBorder="1"/>
    <xf numFmtId="0" fontId="6" fillId="0" borderId="0" xfId="0" applyFont="1"/>
    <xf numFmtId="0" fontId="6" fillId="0" borderId="31" xfId="0" applyFont="1" applyBorder="1"/>
    <xf numFmtId="0" fontId="6" fillId="0" borderId="33" xfId="0" applyFont="1" applyBorder="1"/>
    <xf numFmtId="0" fontId="7" fillId="7" borderId="21" xfId="0" applyFont="1" applyFill="1" applyBorder="1" applyAlignment="1">
      <alignment horizontal="center"/>
    </xf>
    <xf numFmtId="165" fontId="7" fillId="7" borderId="21" xfId="0" applyNumberFormat="1" applyFont="1" applyFill="1" applyBorder="1"/>
    <xf numFmtId="10" fontId="7" fillId="7" borderId="21" xfId="0" applyNumberFormat="1" applyFont="1" applyFill="1" applyBorder="1"/>
    <xf numFmtId="165" fontId="7" fillId="7" borderId="21" xfId="0" applyNumberFormat="1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165" fontId="7" fillId="5" borderId="21" xfId="0" applyNumberFormat="1" applyFont="1" applyFill="1" applyBorder="1"/>
    <xf numFmtId="10" fontId="7" fillId="5" borderId="21" xfId="0" applyNumberFormat="1" applyFont="1" applyFill="1" applyBorder="1"/>
    <xf numFmtId="165" fontId="7" fillId="5" borderId="21" xfId="0" applyNumberFormat="1" applyFont="1" applyFill="1" applyBorder="1" applyAlignment="1">
      <alignment horizontal="center"/>
    </xf>
    <xf numFmtId="0" fontId="7" fillId="6" borderId="21" xfId="0" applyFont="1" applyFill="1" applyBorder="1" applyAlignment="1">
      <alignment horizontal="center"/>
    </xf>
    <xf numFmtId="165" fontId="7" fillId="6" borderId="21" xfId="0" applyNumberFormat="1" applyFont="1" applyFill="1" applyBorder="1"/>
    <xf numFmtId="10" fontId="7" fillId="6" borderId="21" xfId="0" applyNumberFormat="1" applyFont="1" applyFill="1" applyBorder="1"/>
    <xf numFmtId="165" fontId="7" fillId="6" borderId="21" xfId="0" applyNumberFormat="1" applyFont="1" applyFill="1" applyBorder="1" applyAlignment="1">
      <alignment horizontal="center"/>
    </xf>
    <xf numFmtId="0" fontId="13" fillId="6" borderId="21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3" fillId="7" borderId="21" xfId="0" applyFont="1" applyFill="1" applyBorder="1" applyAlignment="1">
      <alignment horizontal="center" vertical="center"/>
    </xf>
    <xf numFmtId="0" fontId="6" fillId="0" borderId="22" xfId="0" applyFont="1" applyBorder="1"/>
    <xf numFmtId="164" fontId="6" fillId="0" borderId="5" xfId="0" applyNumberFormat="1" applyFont="1" applyBorder="1"/>
    <xf numFmtId="10" fontId="6" fillId="0" borderId="23" xfId="1" applyNumberFormat="1" applyFont="1" applyBorder="1" applyProtection="1"/>
    <xf numFmtId="0" fontId="6" fillId="0" borderId="24" xfId="0" applyFont="1" applyBorder="1"/>
    <xf numFmtId="0" fontId="6" fillId="0" borderId="25" xfId="0" applyFont="1" applyBorder="1"/>
    <xf numFmtId="0" fontId="6" fillId="0" borderId="15" xfId="0" applyFont="1" applyBorder="1"/>
    <xf numFmtId="0" fontId="6" fillId="0" borderId="20" xfId="0" applyFont="1" applyBorder="1"/>
    <xf numFmtId="164" fontId="6" fillId="0" borderId="26" xfId="0" applyNumberFormat="1" applyFont="1" applyBorder="1"/>
    <xf numFmtId="164" fontId="6" fillId="0" borderId="0" xfId="0" applyNumberFormat="1" applyFont="1"/>
    <xf numFmtId="165" fontId="6" fillId="0" borderId="0" xfId="0" applyNumberFormat="1" applyFont="1"/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/>
    <xf numFmtId="10" fontId="6" fillId="0" borderId="0" xfId="1" applyNumberFormat="1" applyFont="1" applyProtection="1"/>
    <xf numFmtId="0" fontId="14" fillId="0" borderId="0" xfId="0" applyFont="1"/>
    <xf numFmtId="0" fontId="15" fillId="2" borderId="27" xfId="2" applyFont="1" applyBorder="1" applyProtection="1"/>
    <xf numFmtId="164" fontId="15" fillId="2" borderId="28" xfId="2" applyNumberFormat="1" applyFont="1" applyBorder="1" applyProtection="1"/>
    <xf numFmtId="0" fontId="6" fillId="0" borderId="0" xfId="0" applyFont="1" applyAlignment="1">
      <alignment horizontal="center"/>
    </xf>
    <xf numFmtId="0" fontId="6" fillId="0" borderId="29" xfId="0" applyFont="1" applyBorder="1"/>
    <xf numFmtId="164" fontId="6" fillId="0" borderId="30" xfId="0" applyNumberFormat="1" applyFont="1" applyBorder="1"/>
    <xf numFmtId="164" fontId="6" fillId="0" borderId="32" xfId="0" applyNumberFormat="1" applyFont="1" applyBorder="1"/>
    <xf numFmtId="164" fontId="6" fillId="0" borderId="35" xfId="0" applyNumberFormat="1" applyFont="1" applyBorder="1"/>
    <xf numFmtId="0" fontId="6" fillId="0" borderId="35" xfId="0" applyFont="1" applyBorder="1"/>
    <xf numFmtId="164" fontId="4" fillId="0" borderId="34" xfId="0" applyNumberFormat="1" applyFont="1" applyBorder="1"/>
    <xf numFmtId="0" fontId="12" fillId="0" borderId="20" xfId="0" applyFont="1" applyBorder="1" applyAlignment="1">
      <alignment horizontal="left"/>
    </xf>
    <xf numFmtId="0" fontId="7" fillId="0" borderId="0" xfId="0" applyFont="1" applyAlignment="1">
      <alignment horizontal="center"/>
    </xf>
    <xf numFmtId="165" fontId="7" fillId="0" borderId="0" xfId="0" applyNumberFormat="1" applyFont="1"/>
    <xf numFmtId="165" fontId="7" fillId="0" borderId="0" xfId="0" applyNumberFormat="1" applyFont="1" applyAlignment="1">
      <alignment horizontal="center"/>
    </xf>
    <xf numFmtId="10" fontId="7" fillId="0" borderId="0" xfId="0" applyNumberFormat="1" applyFont="1"/>
    <xf numFmtId="0" fontId="13" fillId="5" borderId="36" xfId="0" applyFont="1" applyFill="1" applyBorder="1" applyAlignment="1">
      <alignment horizontal="center" vertical="center"/>
    </xf>
    <xf numFmtId="0" fontId="13" fillId="5" borderId="37" xfId="0" applyFont="1" applyFill="1" applyBorder="1" applyAlignment="1">
      <alignment horizontal="center" vertical="center"/>
    </xf>
    <xf numFmtId="0" fontId="13" fillId="5" borderId="38" xfId="0" applyFont="1" applyFill="1" applyBorder="1" applyAlignment="1">
      <alignment horizontal="center" vertical="center"/>
    </xf>
    <xf numFmtId="0" fontId="13" fillId="6" borderId="36" xfId="0" applyFont="1" applyFill="1" applyBorder="1" applyAlignment="1">
      <alignment horizontal="center" vertical="center"/>
    </xf>
    <xf numFmtId="0" fontId="13" fillId="6" borderId="37" xfId="0" applyFont="1" applyFill="1" applyBorder="1" applyAlignment="1">
      <alignment horizontal="center" vertical="center"/>
    </xf>
    <xf numFmtId="0" fontId="13" fillId="6" borderId="38" xfId="0" applyFont="1" applyFill="1" applyBorder="1" applyAlignment="1">
      <alignment horizontal="center" vertical="center"/>
    </xf>
    <xf numFmtId="0" fontId="13" fillId="7" borderId="22" xfId="0" applyFont="1" applyFill="1" applyBorder="1" applyAlignment="1">
      <alignment horizontal="center" vertical="center"/>
    </xf>
    <xf numFmtId="0" fontId="13" fillId="7" borderId="23" xfId="0" applyFont="1" applyFill="1" applyBorder="1" applyAlignment="1">
      <alignment horizontal="center" vertical="center"/>
    </xf>
    <xf numFmtId="0" fontId="13" fillId="7" borderId="15" xfId="0" applyFont="1" applyFill="1" applyBorder="1" applyAlignment="1">
      <alignment horizontal="center" vertical="center"/>
    </xf>
    <xf numFmtId="0" fontId="13" fillId="7" borderId="26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/>
    </xf>
    <xf numFmtId="0" fontId="13" fillId="5" borderId="23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0" fontId="13" fillId="5" borderId="26" xfId="0" applyFont="1" applyFill="1" applyBorder="1" applyAlignment="1">
      <alignment horizontal="center" vertical="center"/>
    </xf>
    <xf numFmtId="0" fontId="13" fillId="6" borderId="22" xfId="0" applyFont="1" applyFill="1" applyBorder="1" applyAlignment="1">
      <alignment horizontal="center" vertical="center"/>
    </xf>
    <xf numFmtId="0" fontId="13" fillId="6" borderId="23" xfId="0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center" vertical="center"/>
    </xf>
    <xf numFmtId="0" fontId="13" fillId="6" borderId="26" xfId="0" applyFont="1" applyFill="1" applyBorder="1" applyAlignment="1">
      <alignment horizontal="center" vertical="center"/>
    </xf>
    <xf numFmtId="0" fontId="13" fillId="7" borderId="21" xfId="0" applyFont="1" applyFill="1" applyBorder="1" applyAlignment="1">
      <alignment horizontal="center" vertical="center"/>
    </xf>
    <xf numFmtId="0" fontId="15" fillId="3" borderId="2" xfId="3" applyFont="1" applyBorder="1" applyAlignment="1" applyProtection="1">
      <alignment horizontal="left"/>
    </xf>
    <xf numFmtId="0" fontId="15" fillId="3" borderId="4" xfId="3" applyFont="1" applyBorder="1" applyAlignment="1" applyProtection="1">
      <alignment horizontal="left"/>
    </xf>
    <xf numFmtId="0" fontId="12" fillId="0" borderId="20" xfId="0" applyFont="1" applyBorder="1" applyAlignment="1">
      <alignment horizontal="left"/>
    </xf>
    <xf numFmtId="0" fontId="17" fillId="4" borderId="0" xfId="0" applyFont="1" applyFill="1"/>
    <xf numFmtId="0" fontId="17" fillId="0" borderId="0" xfId="0" applyFont="1"/>
    <xf numFmtId="0" fontId="18" fillId="0" borderId="8" xfId="0" applyFont="1" applyBorder="1" applyAlignment="1">
      <alignment horizontal="center" vertical="top"/>
    </xf>
    <xf numFmtId="0" fontId="18" fillId="0" borderId="9" xfId="0" applyFont="1" applyBorder="1" applyAlignment="1">
      <alignment horizontal="center" vertical="top"/>
    </xf>
    <xf numFmtId="164" fontId="18" fillId="0" borderId="0" xfId="0" applyNumberFormat="1" applyFont="1" applyAlignment="1">
      <alignment vertical="top"/>
    </xf>
    <xf numFmtId="0" fontId="17" fillId="0" borderId="2" xfId="0" applyFont="1" applyBorder="1" applyAlignment="1">
      <alignment horizontal="left"/>
    </xf>
    <xf numFmtId="0" fontId="20" fillId="0" borderId="19" xfId="0" applyFont="1" applyBorder="1" applyAlignment="1">
      <alignment horizontal="center"/>
    </xf>
    <xf numFmtId="0" fontId="20" fillId="0" borderId="19" xfId="0" applyFont="1" applyBorder="1" applyAlignment="1">
      <alignment vertical="top"/>
    </xf>
    <xf numFmtId="0" fontId="20" fillId="0" borderId="19" xfId="0" applyFont="1" applyBorder="1" applyAlignment="1">
      <alignment horizontal="center" vertical="top"/>
    </xf>
    <xf numFmtId="0" fontId="20" fillId="0" borderId="19" xfId="0" applyFont="1" applyBorder="1" applyAlignment="1">
      <alignment horizontal="center" vertical="center"/>
    </xf>
    <xf numFmtId="0" fontId="20" fillId="0" borderId="11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top"/>
    </xf>
    <xf numFmtId="164" fontId="14" fillId="0" borderId="0" xfId="0" applyNumberFormat="1" applyFont="1"/>
    <xf numFmtId="9" fontId="14" fillId="0" borderId="0" xfId="0" applyNumberFormat="1" applyFont="1" applyAlignment="1">
      <alignment horizontal="center" vertical="center"/>
    </xf>
    <xf numFmtId="164" fontId="14" fillId="0" borderId="6" xfId="0" applyNumberFormat="1" applyFont="1" applyBorder="1"/>
    <xf numFmtId="0" fontId="14" fillId="0" borderId="0" xfId="0" applyFont="1" applyAlignment="1">
      <alignment vertical="center"/>
    </xf>
    <xf numFmtId="164" fontId="14" fillId="0" borderId="0" xfId="0" applyNumberFormat="1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top"/>
    </xf>
    <xf numFmtId="0" fontId="17" fillId="0" borderId="2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/>
    </xf>
    <xf numFmtId="0" fontId="17" fillId="0" borderId="19" xfId="0" applyFont="1" applyBorder="1" applyAlignment="1">
      <alignment horizontal="center" vertical="center"/>
    </xf>
    <xf numFmtId="0" fontId="17" fillId="0" borderId="19" xfId="0" applyFont="1" applyBorder="1"/>
    <xf numFmtId="0" fontId="21" fillId="0" borderId="3" xfId="0" applyFont="1" applyBorder="1" applyAlignment="1">
      <alignment horizontal="center" vertical="center"/>
    </xf>
    <xf numFmtId="164" fontId="17" fillId="0" borderId="11" xfId="0" applyNumberFormat="1" applyFont="1" applyBorder="1"/>
    <xf numFmtId="164" fontId="17" fillId="0" borderId="3" xfId="0" applyNumberFormat="1" applyFont="1" applyBorder="1"/>
    <xf numFmtId="164" fontId="17" fillId="0" borderId="4" xfId="0" applyNumberFormat="1" applyFont="1" applyBorder="1"/>
    <xf numFmtId="164" fontId="14" fillId="0" borderId="0" xfId="0" applyNumberFormat="1" applyFont="1" applyAlignment="1">
      <alignment horizontal="center" vertical="center"/>
    </xf>
    <xf numFmtId="167" fontId="14" fillId="6" borderId="0" xfId="0" applyNumberFormat="1" applyFont="1" applyFill="1" applyAlignment="1">
      <alignment vertical="center"/>
    </xf>
    <xf numFmtId="164" fontId="22" fillId="8" borderId="6" xfId="0" applyNumberFormat="1" applyFont="1" applyFill="1" applyBorder="1" applyAlignment="1">
      <alignment horizontal="center"/>
    </xf>
    <xf numFmtId="164" fontId="22" fillId="8" borderId="0" xfId="0" applyNumberFormat="1" applyFont="1" applyFill="1" applyAlignment="1">
      <alignment horizontal="center"/>
    </xf>
    <xf numFmtId="0" fontId="23" fillId="0" borderId="0" xfId="0" applyFont="1"/>
    <xf numFmtId="0" fontId="6" fillId="9" borderId="0" xfId="0" applyFont="1" applyFill="1"/>
    <xf numFmtId="0" fontId="24" fillId="0" borderId="0" xfId="0" applyFont="1"/>
    <xf numFmtId="0" fontId="6" fillId="0" borderId="0" xfId="0" applyFont="1" applyAlignment="1">
      <alignment vertical="center"/>
    </xf>
    <xf numFmtId="0" fontId="25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5" fillId="10" borderId="12" xfId="0" applyFont="1" applyFill="1" applyBorder="1" applyAlignment="1">
      <alignment horizontal="left"/>
    </xf>
    <xf numFmtId="0" fontId="5" fillId="10" borderId="6" xfId="0" applyFont="1" applyFill="1" applyBorder="1" applyAlignment="1">
      <alignment horizontal="left"/>
    </xf>
    <xf numFmtId="0" fontId="5" fillId="10" borderId="7" xfId="0" applyFont="1" applyFill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4" fillId="11" borderId="2" xfId="0" applyFont="1" applyFill="1" applyBorder="1" applyAlignment="1">
      <alignment horizontal="center"/>
    </xf>
    <xf numFmtId="0" fontId="4" fillId="11" borderId="3" xfId="0" applyFont="1" applyFill="1" applyBorder="1" applyAlignment="1">
      <alignment horizontal="center"/>
    </xf>
    <xf numFmtId="0" fontId="6" fillId="11" borderId="3" xfId="0" applyFont="1" applyFill="1" applyBorder="1"/>
    <xf numFmtId="0" fontId="6" fillId="11" borderId="34" xfId="0" applyFont="1" applyFill="1" applyBorder="1" applyAlignment="1">
      <alignment horizontal="center" vertical="center"/>
    </xf>
    <xf numFmtId="44" fontId="6" fillId="11" borderId="4" xfId="0" applyNumberFormat="1" applyFont="1" applyFill="1" applyBorder="1" applyAlignment="1">
      <alignment horizontal="center"/>
    </xf>
    <xf numFmtId="0" fontId="6" fillId="11" borderId="2" xfId="0" applyFont="1" applyFill="1" applyBorder="1" applyAlignment="1">
      <alignment horizontal="left"/>
    </xf>
    <xf numFmtId="0" fontId="6" fillId="11" borderId="3" xfId="0" applyFont="1" applyFill="1" applyBorder="1" applyAlignment="1">
      <alignment horizontal="left"/>
    </xf>
    <xf numFmtId="0" fontId="6" fillId="11" borderId="4" xfId="0" applyFont="1" applyFill="1" applyBorder="1" applyAlignment="1">
      <alignment horizontal="left"/>
    </xf>
    <xf numFmtId="2" fontId="4" fillId="9" borderId="4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right"/>
    </xf>
    <xf numFmtId="4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6" fillId="11" borderId="2" xfId="0" applyFont="1" applyFill="1" applyBorder="1" applyAlignment="1">
      <alignment horizontal="left" vertical="center"/>
    </xf>
    <xf numFmtId="0" fontId="6" fillId="11" borderId="3" xfId="0" applyFont="1" applyFill="1" applyBorder="1" applyAlignment="1">
      <alignment horizontal="left" vertical="center"/>
    </xf>
    <xf numFmtId="0" fontId="6" fillId="11" borderId="4" xfId="0" applyFont="1" applyFill="1" applyBorder="1" applyAlignment="1">
      <alignment horizontal="left" vertical="center"/>
    </xf>
    <xf numFmtId="164" fontId="4" fillId="9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44" fontId="24" fillId="0" borderId="0" xfId="0" applyNumberFormat="1" applyFont="1"/>
    <xf numFmtId="9" fontId="4" fillId="12" borderId="2" xfId="1" applyFont="1" applyFill="1" applyBorder="1" applyAlignment="1">
      <alignment horizontal="center"/>
    </xf>
    <xf numFmtId="9" fontId="6" fillId="12" borderId="19" xfId="1" applyFont="1" applyFill="1" applyBorder="1" applyAlignment="1">
      <alignment horizontal="center"/>
    </xf>
    <xf numFmtId="0" fontId="4" fillId="12" borderId="19" xfId="0" applyFont="1" applyFill="1" applyBorder="1" applyAlignment="1">
      <alignment horizontal="center"/>
    </xf>
    <xf numFmtId="0" fontId="6" fillId="12" borderId="19" xfId="0" applyFont="1" applyFill="1" applyBorder="1" applyAlignment="1">
      <alignment horizontal="center"/>
    </xf>
    <xf numFmtId="0" fontId="6" fillId="12" borderId="4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44" fontId="6" fillId="0" borderId="0" xfId="0" applyNumberFormat="1" applyFont="1" applyAlignment="1">
      <alignment horizontal="center" vertical="center"/>
    </xf>
    <xf numFmtId="164" fontId="4" fillId="9" borderId="0" xfId="0" applyNumberFormat="1" applyFont="1" applyFill="1" applyAlignment="1">
      <alignment horizontal="center"/>
    </xf>
    <xf numFmtId="164" fontId="4" fillId="13" borderId="0" xfId="0" applyNumberFormat="1" applyFont="1" applyFill="1" applyAlignment="1">
      <alignment horizontal="center"/>
    </xf>
    <xf numFmtId="10" fontId="8" fillId="0" borderId="0" xfId="0" applyNumberFormat="1" applyFont="1" applyAlignment="1">
      <alignment vertical="center"/>
    </xf>
    <xf numFmtId="0" fontId="5" fillId="0" borderId="0" xfId="0" applyFont="1" applyAlignment="1">
      <alignment horizontal="right"/>
    </xf>
    <xf numFmtId="0" fontId="5" fillId="0" borderId="14" xfId="0" applyFont="1" applyBorder="1" applyAlignment="1">
      <alignment horizontal="right"/>
    </xf>
    <xf numFmtId="44" fontId="5" fillId="9" borderId="4" xfId="0" applyNumberFormat="1" applyFont="1" applyFill="1" applyBorder="1" applyAlignment="1">
      <alignment horizontal="center"/>
    </xf>
    <xf numFmtId="9" fontId="4" fillId="12" borderId="2" xfId="1" applyFont="1" applyFill="1" applyBorder="1" applyAlignment="1">
      <alignment horizontal="left"/>
    </xf>
    <xf numFmtId="0" fontId="24" fillId="12" borderId="3" xfId="0" applyFont="1" applyFill="1" applyBorder="1"/>
    <xf numFmtId="164" fontId="4" fillId="9" borderId="4" xfId="0" applyNumberFormat="1" applyFont="1" applyFill="1" applyBorder="1" applyAlignment="1">
      <alignment horizontal="center"/>
    </xf>
    <xf numFmtId="0" fontId="6" fillId="14" borderId="0" xfId="0" applyFont="1" applyFill="1"/>
    <xf numFmtId="0" fontId="4" fillId="12" borderId="2" xfId="0" applyFont="1" applyFill="1" applyBorder="1"/>
    <xf numFmtId="0" fontId="5" fillId="10" borderId="12" xfId="0" applyFont="1" applyFill="1" applyBorder="1" applyAlignment="1">
      <alignment horizontal="left"/>
    </xf>
    <xf numFmtId="0" fontId="5" fillId="10" borderId="6" xfId="0" applyFont="1" applyFill="1" applyBorder="1" applyAlignment="1">
      <alignment horizontal="center"/>
    </xf>
    <xf numFmtId="0" fontId="5" fillId="10" borderId="7" xfId="0" applyFont="1" applyFill="1" applyBorder="1" applyAlignment="1">
      <alignment horizontal="center"/>
    </xf>
    <xf numFmtId="164" fontId="24" fillId="0" borderId="0" xfId="0" applyNumberFormat="1" applyFont="1"/>
    <xf numFmtId="0" fontId="6" fillId="11" borderId="2" xfId="0" applyFont="1" applyFill="1" applyBorder="1" applyAlignment="1">
      <alignment horizontal="left"/>
    </xf>
    <xf numFmtId="0" fontId="6" fillId="11" borderId="3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6" fillId="11" borderId="4" xfId="0" applyFont="1" applyFill="1" applyBorder="1" applyAlignment="1">
      <alignment horizontal="center"/>
    </xf>
    <xf numFmtId="0" fontId="27" fillId="0" borderId="0" xfId="0" applyFont="1" applyAlignment="1">
      <alignment horizontal="center" vertical="center"/>
    </xf>
    <xf numFmtId="0" fontId="4" fillId="11" borderId="2" xfId="0" applyFont="1" applyFill="1" applyBorder="1" applyAlignment="1">
      <alignment horizontal="center"/>
    </xf>
    <xf numFmtId="0" fontId="4" fillId="11" borderId="3" xfId="0" applyFont="1" applyFill="1" applyBorder="1" applyAlignment="1">
      <alignment horizontal="center"/>
    </xf>
    <xf numFmtId="0" fontId="6" fillId="11" borderId="3" xfId="0" applyFont="1" applyFill="1" applyBorder="1" applyAlignment="1">
      <alignment horizontal="center" vertical="center"/>
    </xf>
    <xf numFmtId="0" fontId="7" fillId="0" borderId="21" xfId="0" applyFont="1" applyBorder="1"/>
    <xf numFmtId="9" fontId="7" fillId="0" borderId="21" xfId="0" applyNumberFormat="1" applyFont="1" applyBorder="1"/>
    <xf numFmtId="164" fontId="7" fillId="0" borderId="21" xfId="0" applyNumberFormat="1" applyFont="1" applyBorder="1"/>
    <xf numFmtId="0" fontId="26" fillId="0" borderId="0" xfId="0" applyFont="1"/>
    <xf numFmtId="0" fontId="7" fillId="0" borderId="36" xfId="0" applyFont="1" applyBorder="1"/>
    <xf numFmtId="9" fontId="7" fillId="0" borderId="36" xfId="0" applyNumberFormat="1" applyFont="1" applyBorder="1"/>
    <xf numFmtId="164" fontId="7" fillId="0" borderId="36" xfId="0" applyNumberFormat="1" applyFont="1" applyBorder="1"/>
    <xf numFmtId="0" fontId="28" fillId="0" borderId="39" xfId="0" applyFont="1" applyBorder="1" applyAlignment="1">
      <alignment horizontal="center" vertical="center"/>
    </xf>
    <xf numFmtId="9" fontId="28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/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11" borderId="2" xfId="0" applyFont="1" applyFill="1" applyBorder="1" applyAlignment="1">
      <alignment horizontal="left"/>
    </xf>
    <xf numFmtId="0" fontId="24" fillId="11" borderId="3" xfId="0" applyFont="1" applyFill="1" applyBorder="1"/>
    <xf numFmtId="0" fontId="24" fillId="11" borderId="4" xfId="0" applyFont="1" applyFill="1" applyBorder="1"/>
    <xf numFmtId="0" fontId="6" fillId="11" borderId="17" xfId="0" applyFont="1" applyFill="1" applyBorder="1" applyAlignment="1">
      <alignment horizontal="center"/>
    </xf>
    <xf numFmtId="0" fontId="6" fillId="11" borderId="18" xfId="0" applyFont="1" applyFill="1" applyBorder="1" applyAlignment="1">
      <alignment horizontal="center"/>
    </xf>
    <xf numFmtId="0" fontId="6" fillId="11" borderId="28" xfId="0" applyFont="1" applyFill="1" applyBorder="1" applyAlignment="1">
      <alignment horizontal="center"/>
    </xf>
    <xf numFmtId="0" fontId="24" fillId="0" borderId="12" xfId="0" applyFont="1" applyBorder="1"/>
    <xf numFmtId="44" fontId="24" fillId="0" borderId="6" xfId="0" applyNumberFormat="1" applyFont="1" applyBorder="1"/>
    <xf numFmtId="0" fontId="24" fillId="0" borderId="6" xfId="0" applyFont="1" applyBorder="1"/>
    <xf numFmtId="44" fontId="24" fillId="0" borderId="7" xfId="0" applyNumberFormat="1" applyFont="1" applyBorder="1"/>
    <xf numFmtId="0" fontId="6" fillId="0" borderId="6" xfId="0" applyFont="1" applyBorder="1"/>
    <xf numFmtId="164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24" fillId="0" borderId="13" xfId="0" applyFont="1" applyBorder="1"/>
    <xf numFmtId="44" fontId="24" fillId="0" borderId="14" xfId="0" applyNumberFormat="1" applyFont="1" applyBorder="1"/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4" xfId="0" applyNumberFormat="1" applyFont="1" applyBorder="1" applyAlignment="1">
      <alignment horizontal="center"/>
    </xf>
    <xf numFmtId="0" fontId="8" fillId="10" borderId="2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center"/>
    </xf>
    <xf numFmtId="164" fontId="10" fillId="9" borderId="2" xfId="2" applyNumberFormat="1" applyFont="1" applyFill="1" applyBorder="1" applyAlignment="1">
      <alignment horizontal="center" vertical="center"/>
    </xf>
    <xf numFmtId="164" fontId="10" fillId="9" borderId="3" xfId="2" applyNumberFormat="1" applyFont="1" applyFill="1" applyBorder="1" applyAlignment="1">
      <alignment horizontal="center" vertical="center"/>
    </xf>
    <xf numFmtId="164" fontId="10" fillId="9" borderId="4" xfId="2" applyNumberFormat="1" applyFont="1" applyFill="1" applyBorder="1" applyAlignment="1">
      <alignment horizontal="center" vertical="center"/>
    </xf>
    <xf numFmtId="0" fontId="24" fillId="0" borderId="8" xfId="0" applyFont="1" applyBorder="1"/>
    <xf numFmtId="0" fontId="24" fillId="0" borderId="9" xfId="0" applyFont="1" applyBorder="1"/>
    <xf numFmtId="44" fontId="29" fillId="0" borderId="34" xfId="0" applyNumberFormat="1" applyFont="1" applyBorder="1"/>
    <xf numFmtId="0" fontId="6" fillId="0" borderId="6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30" fillId="10" borderId="2" xfId="0" applyFont="1" applyFill="1" applyBorder="1" applyAlignment="1">
      <alignment horizontal="left"/>
    </xf>
    <xf numFmtId="0" fontId="30" fillId="10" borderId="3" xfId="0" applyFont="1" applyFill="1" applyBorder="1" applyAlignment="1">
      <alignment horizontal="center"/>
    </xf>
    <xf numFmtId="0" fontId="30" fillId="10" borderId="4" xfId="0" applyFont="1" applyFill="1" applyBorder="1" applyAlignment="1">
      <alignment horizontal="center"/>
    </xf>
    <xf numFmtId="0" fontId="6" fillId="0" borderId="2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164" fontId="6" fillId="0" borderId="22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23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164" fontId="6" fillId="0" borderId="24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25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164" fontId="5" fillId="9" borderId="15" xfId="0" applyNumberFormat="1" applyFont="1" applyFill="1" applyBorder="1" applyAlignment="1">
      <alignment horizontal="center" vertical="center"/>
    </xf>
    <xf numFmtId="164" fontId="5" fillId="9" borderId="20" xfId="0" applyNumberFormat="1" applyFont="1" applyFill="1" applyBorder="1" applyAlignment="1">
      <alignment horizontal="center" vertical="center"/>
    </xf>
    <xf numFmtId="164" fontId="5" fillId="9" borderId="26" xfId="0" applyNumberFormat="1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left"/>
    </xf>
    <xf numFmtId="0" fontId="9" fillId="12" borderId="3" xfId="3" applyFont="1" applyFill="1" applyBorder="1" applyAlignment="1">
      <alignment horizontal="center"/>
    </xf>
    <xf numFmtId="0" fontId="9" fillId="12" borderId="4" xfId="3" applyFont="1" applyFill="1" applyBorder="1" applyAlignment="1">
      <alignment horizontal="center"/>
    </xf>
    <xf numFmtId="0" fontId="11" fillId="12" borderId="34" xfId="3" applyFont="1" applyFill="1" applyBorder="1" applyAlignment="1">
      <alignment horizontal="center"/>
    </xf>
    <xf numFmtId="0" fontId="11" fillId="12" borderId="2" xfId="3" applyFont="1" applyFill="1" applyBorder="1" applyAlignment="1">
      <alignment horizontal="center"/>
    </xf>
    <xf numFmtId="0" fontId="6" fillId="0" borderId="12" xfId="0" applyFont="1" applyBorder="1"/>
    <xf numFmtId="9" fontId="6" fillId="0" borderId="6" xfId="0" applyNumberFormat="1" applyFont="1" applyBorder="1" applyAlignment="1">
      <alignment horizontal="center"/>
    </xf>
    <xf numFmtId="164" fontId="6" fillId="0" borderId="6" xfId="0" applyNumberFormat="1" applyFont="1" applyBorder="1"/>
    <xf numFmtId="164" fontId="6" fillId="0" borderId="7" xfId="0" applyNumberFormat="1" applyFont="1" applyBorder="1"/>
    <xf numFmtId="9" fontId="6" fillId="0" borderId="0" xfId="0" applyNumberFormat="1" applyFont="1" applyAlignment="1">
      <alignment horizontal="center"/>
    </xf>
    <xf numFmtId="164" fontId="6" fillId="0" borderId="14" xfId="0" applyNumberFormat="1" applyFont="1" applyBorder="1"/>
    <xf numFmtId="164" fontId="24" fillId="0" borderId="0" xfId="0" applyNumberFormat="1" applyFont="1" applyAlignment="1">
      <alignment horizontal="center"/>
    </xf>
    <xf numFmtId="0" fontId="6" fillId="0" borderId="8" xfId="0" applyFont="1" applyBorder="1"/>
    <xf numFmtId="0" fontId="6" fillId="0" borderId="9" xfId="0" applyFont="1" applyBorder="1" applyAlignment="1">
      <alignment horizontal="center"/>
    </xf>
    <xf numFmtId="9" fontId="6" fillId="0" borderId="9" xfId="0" applyNumberFormat="1" applyFont="1" applyBorder="1" applyAlignment="1">
      <alignment horizontal="center"/>
    </xf>
    <xf numFmtId="164" fontId="6" fillId="0" borderId="9" xfId="0" applyNumberFormat="1" applyFont="1" applyBorder="1"/>
    <xf numFmtId="164" fontId="6" fillId="0" borderId="10" xfId="0" applyNumberFormat="1" applyFont="1" applyBorder="1"/>
    <xf numFmtId="10" fontId="24" fillId="0" borderId="0" xfId="0" applyNumberFormat="1" applyFont="1" applyAlignment="1">
      <alignment horizontal="center"/>
    </xf>
    <xf numFmtId="0" fontId="11" fillId="12" borderId="2" xfId="3" applyFont="1" applyFill="1" applyBorder="1" applyAlignment="1">
      <alignment horizontal="center"/>
    </xf>
    <xf numFmtId="0" fontId="11" fillId="12" borderId="3" xfId="3" applyFont="1" applyFill="1" applyBorder="1" applyAlignment="1">
      <alignment horizontal="center"/>
    </xf>
    <xf numFmtId="0" fontId="11" fillId="12" borderId="4" xfId="3" applyFont="1" applyFill="1" applyBorder="1" applyAlignment="1">
      <alignment horizontal="center"/>
    </xf>
    <xf numFmtId="164" fontId="5" fillId="0" borderId="4" xfId="0" applyNumberFormat="1" applyFont="1" applyBorder="1"/>
    <xf numFmtId="0" fontId="7" fillId="0" borderId="0" xfId="0" applyFont="1"/>
    <xf numFmtId="0" fontId="12" fillId="12" borderId="2" xfId="3" applyFont="1" applyFill="1" applyBorder="1" applyAlignment="1">
      <alignment horizontal="center"/>
    </xf>
    <xf numFmtId="0" fontId="12" fillId="12" borderId="3" xfId="3" applyFont="1" applyFill="1" applyBorder="1" applyAlignment="1">
      <alignment horizontal="center"/>
    </xf>
    <xf numFmtId="0" fontId="12" fillId="12" borderId="4" xfId="3" applyFont="1" applyFill="1" applyBorder="1" applyAlignment="1">
      <alignment horizontal="center"/>
    </xf>
    <xf numFmtId="164" fontId="10" fillId="9" borderId="4" xfId="3" applyNumberFormat="1" applyFont="1" applyFill="1" applyBorder="1"/>
    <xf numFmtId="164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64" fontId="31" fillId="0" borderId="0" xfId="0" applyNumberFormat="1" applyFont="1" applyAlignment="1">
      <alignment horizontal="center"/>
    </xf>
    <xf numFmtId="164" fontId="6" fillId="0" borderId="40" xfId="0" applyNumberFormat="1" applyFont="1" applyBorder="1" applyAlignment="1">
      <alignment horizontal="center"/>
    </xf>
    <xf numFmtId="164" fontId="6" fillId="0" borderId="41" xfId="0" applyNumberFormat="1" applyFont="1" applyBorder="1" applyAlignment="1">
      <alignment horizontal="center"/>
    </xf>
    <xf numFmtId="168" fontId="6" fillId="0" borderId="41" xfId="0" applyNumberFormat="1" applyFont="1" applyBorder="1" applyAlignment="1">
      <alignment horizontal="center"/>
    </xf>
    <xf numFmtId="0" fontId="6" fillId="0" borderId="41" xfId="0" applyFont="1" applyBorder="1"/>
    <xf numFmtId="44" fontId="6" fillId="0" borderId="42" xfId="0" applyNumberFormat="1" applyFont="1" applyBorder="1"/>
    <xf numFmtId="169" fontId="6" fillId="0" borderId="41" xfId="0" applyNumberFormat="1" applyFont="1" applyBorder="1"/>
    <xf numFmtId="164" fontId="6" fillId="0" borderId="41" xfId="0" applyNumberFormat="1" applyFont="1" applyBorder="1"/>
    <xf numFmtId="0" fontId="6" fillId="0" borderId="40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0" xfId="0" applyFont="1" applyAlignment="1">
      <alignment horizontal="center"/>
    </xf>
    <xf numFmtId="44" fontId="6" fillId="0" borderId="0" xfId="0" applyNumberFormat="1" applyFont="1"/>
    <xf numFmtId="0" fontId="6" fillId="0" borderId="40" xfId="0" applyFont="1" applyBorder="1"/>
    <xf numFmtId="170" fontId="6" fillId="0" borderId="42" xfId="0" applyNumberFormat="1" applyFont="1" applyBorder="1" applyAlignment="1">
      <alignment horizontal="center"/>
    </xf>
    <xf numFmtId="170" fontId="24" fillId="0" borderId="0" xfId="0" applyNumberFormat="1" applyFont="1"/>
    <xf numFmtId="9" fontId="24" fillId="0" borderId="0" xfId="0" applyNumberFormat="1" applyFont="1"/>
    <xf numFmtId="171" fontId="24" fillId="0" borderId="0" xfId="1" applyNumberFormat="1" applyFont="1" applyFill="1" applyBorder="1"/>
    <xf numFmtId="0" fontId="24" fillId="0" borderId="0" xfId="0" applyFont="1"/>
    <xf numFmtId="0" fontId="28" fillId="0" borderId="0" xfId="0" applyFont="1" applyBorder="1" applyAlignment="1">
      <alignment horizontal="center" vertical="center"/>
    </xf>
    <xf numFmtId="9" fontId="28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/>
    <xf numFmtId="0" fontId="6" fillId="0" borderId="0" xfId="0" applyFont="1" applyAlignment="1"/>
    <xf numFmtId="44" fontId="28" fillId="0" borderId="0" xfId="0" applyNumberFormat="1" applyFont="1" applyBorder="1" applyAlignment="1">
      <alignment horizontal="center" vertical="center"/>
    </xf>
  </cellXfs>
  <cellStyles count="4">
    <cellStyle name="Accent3" xfId="3" builtinId="37"/>
    <cellStyle name="Check Cell" xfId="2" builtinId="2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0</xdr:row>
      <xdr:rowOff>135671</xdr:rowOff>
    </xdr:from>
    <xdr:ext cx="3081617" cy="1815347"/>
    <xdr:pic>
      <xdr:nvPicPr>
        <xdr:cNvPr id="4" name="Picture 3">
          <a:extLst>
            <a:ext uri="{FF2B5EF4-FFF2-40B4-BE49-F238E27FC236}">
              <a16:creationId xmlns:a16="http://schemas.microsoft.com/office/drawing/2014/main" id="{9F5DA648-0F53-4FD6-BFA3-7F76FFCE9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102A2DA-04B2-497E-BD37-B4152AFC8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0038" y="135671"/>
          <a:ext cx="3081617" cy="181534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3.%20%20%20%20Admin\-%20QUOTES\2023\x008_Altus_Anke\-%20Quotes%20And%20Invoices\2023\2023_Blackhound_Fees.xlsx" TargetMode="External"/><Relationship Id="rId1" Type="http://schemas.openxmlformats.org/officeDocument/2006/relationships/externalLinkPath" Target="/3.%20%20%20%20Admin/-%20QUOTES/2023/x008_Altus_Anke/-%20Quotes%20And%20Invoices/2023/2023_Blackhound_Fe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mployees"/>
      <sheetName val="Fees"/>
      <sheetName val="4.2"/>
      <sheetName val="Data"/>
    </sheetNames>
    <sheetDataSet>
      <sheetData sheetId="0">
        <row r="19">
          <cell r="G19">
            <v>672</v>
          </cell>
        </row>
        <row r="20">
          <cell r="G20">
            <v>625</v>
          </cell>
        </row>
        <row r="21">
          <cell r="G21">
            <v>395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BDD90-ABB9-4B3E-8860-625FB7534941}">
  <dimension ref="A1:L21"/>
  <sheetViews>
    <sheetView workbookViewId="0">
      <selection activeCell="G19" sqref="G19"/>
    </sheetView>
  </sheetViews>
  <sheetFormatPr defaultRowHeight="15" x14ac:dyDescent="0.25"/>
  <cols>
    <col min="1" max="1" width="5.5703125" customWidth="1"/>
    <col min="2" max="2" width="23.42578125" customWidth="1"/>
    <col min="3" max="3" width="17.85546875" customWidth="1"/>
    <col min="4" max="4" width="19.42578125" customWidth="1"/>
    <col min="5" max="5" width="14" bestFit="1" customWidth="1"/>
    <col min="6" max="6" width="21.85546875" customWidth="1"/>
    <col min="7" max="7" width="21.5703125" customWidth="1"/>
    <col min="8" max="8" width="12.28515625" customWidth="1"/>
    <col min="9" max="9" width="16.85546875" bestFit="1" customWidth="1"/>
    <col min="11" max="11" width="17.140625" customWidth="1"/>
    <col min="12" max="12" width="19.28515625" customWidth="1"/>
  </cols>
  <sheetData>
    <row r="1" spans="1:12" ht="17.25" x14ac:dyDescent="0.3">
      <c r="A1" s="70"/>
      <c r="B1" s="70"/>
      <c r="C1" s="70"/>
      <c r="D1" s="70"/>
      <c r="E1" s="70"/>
      <c r="F1" s="70"/>
      <c r="G1" s="70"/>
      <c r="H1" s="71"/>
      <c r="I1" s="71"/>
      <c r="J1" s="71"/>
      <c r="K1" s="71"/>
      <c r="L1" s="71"/>
    </row>
    <row r="2" spans="1:12" ht="17.25" x14ac:dyDescent="0.3">
      <c r="A2" s="70"/>
      <c r="B2" s="70"/>
      <c r="C2" s="70"/>
      <c r="D2" s="70"/>
      <c r="E2" s="70"/>
      <c r="F2" s="70"/>
      <c r="G2" s="70"/>
      <c r="H2" s="71"/>
      <c r="I2" s="71"/>
      <c r="J2" s="71"/>
      <c r="K2" s="71"/>
      <c r="L2" s="71"/>
    </row>
    <row r="3" spans="1:12" ht="17.25" x14ac:dyDescent="0.3">
      <c r="A3" s="70"/>
      <c r="B3" s="70"/>
      <c r="C3" s="70"/>
      <c r="D3" s="70"/>
      <c r="E3" s="70"/>
      <c r="F3" s="70"/>
      <c r="G3" s="70"/>
      <c r="H3" s="71"/>
      <c r="I3" s="71"/>
      <c r="J3" s="71"/>
      <c r="K3" s="71"/>
      <c r="L3" s="71"/>
    </row>
    <row r="4" spans="1:12" ht="17.25" x14ac:dyDescent="0.3">
      <c r="A4" s="70"/>
      <c r="B4" s="70"/>
      <c r="C4" s="70"/>
      <c r="D4" s="70"/>
      <c r="E4" s="70"/>
      <c r="F4" s="70"/>
      <c r="G4" s="70"/>
      <c r="H4" s="71"/>
      <c r="I4" s="71"/>
      <c r="J4" s="71"/>
      <c r="K4" s="71"/>
      <c r="L4" s="71"/>
    </row>
    <row r="5" spans="1:12" ht="17.25" x14ac:dyDescent="0.3">
      <c r="A5" s="70"/>
      <c r="B5" s="70"/>
      <c r="C5" s="70"/>
      <c r="D5" s="70"/>
      <c r="E5" s="70"/>
      <c r="F5" s="70"/>
      <c r="G5" s="70"/>
      <c r="H5" s="71"/>
      <c r="I5" s="71"/>
      <c r="J5" s="71"/>
      <c r="K5" s="71"/>
      <c r="L5" s="71"/>
    </row>
    <row r="6" spans="1:12" ht="17.25" x14ac:dyDescent="0.3">
      <c r="A6" s="70"/>
      <c r="B6" s="70"/>
      <c r="C6" s="70"/>
      <c r="D6" s="70"/>
      <c r="E6" s="70"/>
      <c r="F6" s="70"/>
      <c r="G6" s="70"/>
      <c r="H6" s="71"/>
      <c r="I6" s="71"/>
      <c r="J6" s="71"/>
      <c r="K6" s="71"/>
      <c r="L6" s="71"/>
    </row>
    <row r="7" spans="1:12" ht="17.25" x14ac:dyDescent="0.3">
      <c r="A7" s="70"/>
      <c r="B7" s="70"/>
      <c r="C7" s="70"/>
      <c r="D7" s="70"/>
      <c r="E7" s="70"/>
      <c r="F7" s="70"/>
      <c r="G7" s="70"/>
      <c r="H7" s="71"/>
      <c r="I7" s="71"/>
      <c r="J7" s="71"/>
      <c r="K7" s="71"/>
      <c r="L7" s="71"/>
    </row>
    <row r="8" spans="1:12" ht="17.25" x14ac:dyDescent="0.3">
      <c r="A8" s="70"/>
      <c r="B8" s="70"/>
      <c r="C8" s="70"/>
      <c r="D8" s="70"/>
      <c r="E8" s="70"/>
      <c r="F8" s="70"/>
      <c r="G8" s="70"/>
      <c r="H8" s="71"/>
      <c r="I8" s="71"/>
      <c r="J8" s="71"/>
      <c r="K8" s="71"/>
      <c r="L8" s="71"/>
    </row>
    <row r="9" spans="1:12" ht="17.25" x14ac:dyDescent="0.3">
      <c r="A9" s="70"/>
      <c r="B9" s="70"/>
      <c r="C9" s="70"/>
      <c r="D9" s="70"/>
      <c r="E9" s="70"/>
      <c r="F9" s="70"/>
      <c r="G9" s="70"/>
      <c r="H9" s="71"/>
      <c r="I9" s="71"/>
      <c r="J9" s="71"/>
      <c r="K9" s="71"/>
      <c r="L9" s="71"/>
    </row>
    <row r="10" spans="1:12" ht="17.25" x14ac:dyDescent="0.3">
      <c r="A10" s="70"/>
      <c r="B10" s="70"/>
      <c r="C10" s="70"/>
      <c r="D10" s="70"/>
      <c r="E10" s="70"/>
      <c r="F10" s="70"/>
      <c r="G10" s="70"/>
      <c r="H10" s="71"/>
      <c r="I10" s="71"/>
      <c r="J10" s="71"/>
      <c r="K10" s="71"/>
      <c r="L10" s="71"/>
    </row>
    <row r="11" spans="1:12" ht="21" thickBot="1" x14ac:dyDescent="0.35">
      <c r="A11" s="72" t="s">
        <v>34</v>
      </c>
      <c r="B11" s="73"/>
      <c r="C11" s="73"/>
      <c r="D11" s="73"/>
      <c r="E11" s="73"/>
      <c r="F11" s="73"/>
      <c r="G11" s="73"/>
      <c r="H11" s="71"/>
      <c r="I11" s="74"/>
      <c r="J11" s="71"/>
      <c r="K11" s="71"/>
      <c r="L11" s="71"/>
    </row>
    <row r="12" spans="1:12" ht="19.5" thickBot="1" x14ac:dyDescent="0.35">
      <c r="A12" s="75" t="s">
        <v>35</v>
      </c>
      <c r="B12" s="76" t="s">
        <v>36</v>
      </c>
      <c r="C12" s="77" t="s">
        <v>37</v>
      </c>
      <c r="D12" s="78" t="s">
        <v>38</v>
      </c>
      <c r="E12" s="79" t="s">
        <v>39</v>
      </c>
      <c r="F12" s="79"/>
      <c r="G12" s="80" t="s">
        <v>40</v>
      </c>
      <c r="H12" s="71"/>
      <c r="I12" s="71"/>
      <c r="J12" s="71"/>
      <c r="K12" s="71"/>
      <c r="L12" s="71"/>
    </row>
    <row r="13" spans="1:12" ht="17.25" x14ac:dyDescent="0.3">
      <c r="A13" s="81">
        <v>1</v>
      </c>
      <c r="B13" s="82" t="s">
        <v>41</v>
      </c>
      <c r="C13" s="33" t="s">
        <v>42</v>
      </c>
      <c r="D13" s="83">
        <v>40870</v>
      </c>
      <c r="E13" s="84">
        <v>0.15</v>
      </c>
      <c r="F13" s="83">
        <f>D13*E13</f>
        <v>6130.5</v>
      </c>
      <c r="G13" s="85">
        <f>D13+F13</f>
        <v>47000.5</v>
      </c>
      <c r="H13" s="33"/>
      <c r="I13" s="83"/>
      <c r="J13" s="71"/>
      <c r="K13" s="71"/>
      <c r="L13" s="71"/>
    </row>
    <row r="14" spans="1:12" ht="17.25" x14ac:dyDescent="0.3">
      <c r="A14" s="81">
        <v>2</v>
      </c>
      <c r="B14" s="86" t="s">
        <v>43</v>
      </c>
      <c r="C14" s="33" t="s">
        <v>42</v>
      </c>
      <c r="D14" s="87">
        <v>38000</v>
      </c>
      <c r="E14" s="84">
        <v>0.15</v>
      </c>
      <c r="F14" s="83">
        <f>D14*E14</f>
        <v>5700</v>
      </c>
      <c r="G14" s="83">
        <f>D14+F14</f>
        <v>43700</v>
      </c>
      <c r="H14" s="33"/>
      <c r="I14" s="33"/>
      <c r="J14" s="71"/>
      <c r="K14" s="71"/>
      <c r="L14" s="71"/>
    </row>
    <row r="15" spans="1:12" ht="17.25" x14ac:dyDescent="0.3">
      <c r="A15" s="81">
        <v>3</v>
      </c>
      <c r="B15" s="33" t="s">
        <v>44</v>
      </c>
      <c r="C15" s="33" t="s">
        <v>45</v>
      </c>
      <c r="D15" s="87">
        <v>24000</v>
      </c>
      <c r="E15" s="84">
        <v>0.15</v>
      </c>
      <c r="F15" s="83">
        <f>D15*E15</f>
        <v>3600</v>
      </c>
      <c r="G15" s="83">
        <f>D15+F15</f>
        <v>27600</v>
      </c>
      <c r="H15" s="33" t="s">
        <v>46</v>
      </c>
      <c r="I15" s="33"/>
      <c r="J15" s="71"/>
      <c r="K15" s="71"/>
      <c r="L15" s="71"/>
    </row>
    <row r="16" spans="1:12" ht="17.25" x14ac:dyDescent="0.3">
      <c r="A16" s="88"/>
      <c r="B16" s="71"/>
      <c r="C16" s="71"/>
      <c r="D16" s="71"/>
      <c r="E16" s="71"/>
      <c r="F16" s="71"/>
      <c r="G16" s="71"/>
      <c r="H16" s="71"/>
      <c r="I16" s="71"/>
      <c r="J16" s="71"/>
      <c r="L16" s="71"/>
    </row>
    <row r="17" spans="1:12" ht="21" thickBot="1" x14ac:dyDescent="0.35">
      <c r="A17" s="89" t="s">
        <v>47</v>
      </c>
      <c r="B17" s="89"/>
      <c r="C17" s="89"/>
      <c r="D17" s="89"/>
      <c r="E17" s="89"/>
      <c r="F17" s="89"/>
      <c r="G17" s="89"/>
      <c r="H17" s="71"/>
      <c r="I17" s="71"/>
      <c r="J17" s="71"/>
      <c r="L17" s="71"/>
    </row>
    <row r="18" spans="1:12" ht="18" thickBot="1" x14ac:dyDescent="0.35">
      <c r="A18" s="90" t="s">
        <v>35</v>
      </c>
      <c r="B18" s="91" t="s">
        <v>48</v>
      </c>
      <c r="C18" s="92" t="s">
        <v>49</v>
      </c>
      <c r="D18" s="91" t="s">
        <v>50</v>
      </c>
      <c r="E18" s="92" t="s">
        <v>51</v>
      </c>
      <c r="F18" s="93" t="s">
        <v>52</v>
      </c>
      <c r="G18" s="94" t="s">
        <v>53</v>
      </c>
      <c r="H18" s="95" t="s">
        <v>54</v>
      </c>
      <c r="I18" s="96"/>
      <c r="J18" s="97"/>
      <c r="L18" s="71"/>
    </row>
    <row r="19" spans="1:12" ht="16.5" x14ac:dyDescent="0.3">
      <c r="A19" s="81">
        <v>1</v>
      </c>
      <c r="B19" s="86">
        <v>21</v>
      </c>
      <c r="C19" s="87">
        <f>G13/B19</f>
        <v>2238.1190476190477</v>
      </c>
      <c r="D19" s="86">
        <v>8</v>
      </c>
      <c r="E19" s="98">
        <f>C19/D19</f>
        <v>279.76488095238096</v>
      </c>
      <c r="F19" s="86">
        <v>2.4</v>
      </c>
      <c r="G19" s="99">
        <f>ROUNDUP(E19*F19,-0.5)</f>
        <v>672</v>
      </c>
      <c r="H19" s="100">
        <f>G19*D19</f>
        <v>5376</v>
      </c>
      <c r="I19" s="100"/>
      <c r="J19" s="100"/>
      <c r="K19" s="33" t="s">
        <v>55</v>
      </c>
      <c r="L19" s="33" t="s">
        <v>42</v>
      </c>
    </row>
    <row r="20" spans="1:12" ht="16.5" x14ac:dyDescent="0.3">
      <c r="A20" s="81">
        <v>2</v>
      </c>
      <c r="B20" s="86">
        <v>21</v>
      </c>
      <c r="C20" s="87">
        <f>G14/B20</f>
        <v>2080.9523809523807</v>
      </c>
      <c r="D20" s="86">
        <v>8</v>
      </c>
      <c r="E20" s="98">
        <f>C20/D20</f>
        <v>260.11904761904759</v>
      </c>
      <c r="F20" s="86">
        <v>2.4</v>
      </c>
      <c r="G20" s="99">
        <f>ROUNDUP(E20*F20,-0.5)</f>
        <v>625</v>
      </c>
      <c r="H20" s="101">
        <f>G20*D20</f>
        <v>5000</v>
      </c>
      <c r="I20" s="101"/>
      <c r="J20" s="101"/>
      <c r="K20" s="33" t="s">
        <v>56</v>
      </c>
      <c r="L20" s="33" t="s">
        <v>42</v>
      </c>
    </row>
    <row r="21" spans="1:12" ht="16.5" x14ac:dyDescent="0.3">
      <c r="A21" s="81">
        <v>3</v>
      </c>
      <c r="B21" s="33">
        <v>21</v>
      </c>
      <c r="C21" s="83">
        <f>G15/B21</f>
        <v>1314.2857142857142</v>
      </c>
      <c r="D21" s="86">
        <v>8</v>
      </c>
      <c r="E21" s="98">
        <f>C21/D21</f>
        <v>164.28571428571428</v>
      </c>
      <c r="F21" s="33">
        <v>2.4</v>
      </c>
      <c r="G21" s="99">
        <f>ROUNDUP(E21*F21,-0.5)</f>
        <v>395</v>
      </c>
      <c r="H21" s="101">
        <f>G21*D21</f>
        <v>3160</v>
      </c>
      <c r="I21" s="101"/>
      <c r="J21" s="101"/>
      <c r="K21" s="33" t="str">
        <f>B15</f>
        <v>Johan Hugo</v>
      </c>
      <c r="L21" s="33" t="s">
        <v>57</v>
      </c>
    </row>
  </sheetData>
  <mergeCells count="6">
    <mergeCell ref="A11:G11"/>
    <mergeCell ref="E12:F12"/>
    <mergeCell ref="A17:G17"/>
    <mergeCell ref="H19:J19"/>
    <mergeCell ref="H20:J20"/>
    <mergeCell ref="H21:J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07745-CD32-4621-ACC1-6B6975EECBDA}">
  <dimension ref="A1:N120"/>
  <sheetViews>
    <sheetView tabSelected="1" topLeftCell="A31" zoomScale="85" zoomScaleNormal="85" workbookViewId="0">
      <selection activeCell="H29" sqref="H29"/>
    </sheetView>
  </sheetViews>
  <sheetFormatPr defaultRowHeight="15" x14ac:dyDescent="0.25"/>
  <cols>
    <col min="1" max="1" width="37.140625" style="104" bestFit="1" customWidth="1"/>
    <col min="2" max="2" width="17.85546875" style="104" customWidth="1"/>
    <col min="3" max="3" width="9.140625" style="104"/>
    <col min="4" max="4" width="20.7109375" style="104" bestFit="1" customWidth="1"/>
    <col min="5" max="5" width="29.5703125" style="104" bestFit="1" customWidth="1"/>
    <col min="6" max="6" width="17.85546875" style="104" bestFit="1" customWidth="1"/>
    <col min="7" max="7" width="11.85546875" style="104" bestFit="1" customWidth="1"/>
    <col min="8" max="8" width="26" style="104" bestFit="1" customWidth="1"/>
    <col min="9" max="9" width="9.140625" style="104"/>
    <col min="10" max="10" width="24.42578125" style="104" bestFit="1" customWidth="1"/>
    <col min="11" max="11" width="23.140625" style="104" bestFit="1" customWidth="1"/>
    <col min="12" max="12" width="30.42578125" style="104" bestFit="1" customWidth="1"/>
    <col min="13" max="13" width="31.7109375" style="104" bestFit="1" customWidth="1"/>
    <col min="14" max="14" width="23.7109375" style="104" bestFit="1" customWidth="1"/>
    <col min="15" max="16384" width="9.140625" style="104"/>
  </cols>
  <sheetData>
    <row r="1" spans="1:13" ht="17.25" x14ac:dyDescent="0.3">
      <c r="A1" s="103"/>
      <c r="B1" s="103"/>
      <c r="C1" s="103"/>
      <c r="D1" s="103"/>
      <c r="E1" s="103"/>
      <c r="F1" s="103"/>
      <c r="G1" s="103"/>
      <c r="H1" s="103"/>
      <c r="I1" s="2"/>
      <c r="J1" s="2"/>
      <c r="K1" s="2"/>
      <c r="L1" s="2"/>
      <c r="M1" s="2"/>
    </row>
    <row r="2" spans="1:13" ht="17.25" x14ac:dyDescent="0.3">
      <c r="A2" s="103"/>
      <c r="B2" s="103"/>
      <c r="C2" s="103"/>
      <c r="D2" s="103"/>
      <c r="E2" s="103"/>
      <c r="F2" s="103"/>
      <c r="G2" s="103"/>
      <c r="H2" s="103"/>
      <c r="I2" s="105"/>
      <c r="J2" s="105"/>
      <c r="K2" s="2"/>
      <c r="L2" s="2"/>
      <c r="M2" s="2"/>
    </row>
    <row r="3" spans="1:13" ht="17.25" x14ac:dyDescent="0.3">
      <c r="A3" s="103"/>
      <c r="B3" s="103"/>
      <c r="C3" s="103"/>
      <c r="D3" s="103"/>
      <c r="E3" s="103"/>
      <c r="F3" s="103"/>
      <c r="G3" s="103"/>
      <c r="H3" s="103"/>
      <c r="I3" s="105"/>
      <c r="J3" s="105"/>
      <c r="K3" s="2"/>
      <c r="L3" s="2"/>
      <c r="M3" s="2"/>
    </row>
    <row r="4" spans="1:13" ht="17.25" x14ac:dyDescent="0.3">
      <c r="A4" s="103"/>
      <c r="B4" s="103"/>
      <c r="C4" s="103"/>
      <c r="D4" s="103"/>
      <c r="E4" s="103"/>
      <c r="F4" s="103"/>
      <c r="G4" s="103"/>
      <c r="H4" s="103"/>
      <c r="I4" s="105"/>
      <c r="J4" s="105"/>
      <c r="K4" s="2"/>
      <c r="L4" s="2"/>
      <c r="M4" s="2"/>
    </row>
    <row r="5" spans="1:13" ht="17.25" x14ac:dyDescent="0.3">
      <c r="A5" s="103"/>
      <c r="B5" s="103"/>
      <c r="C5" s="103"/>
      <c r="D5" s="103"/>
      <c r="E5" s="103"/>
      <c r="F5" s="103"/>
      <c r="G5" s="103"/>
      <c r="H5" s="103"/>
      <c r="I5" s="105"/>
      <c r="J5" s="105"/>
      <c r="K5" s="2"/>
      <c r="L5" s="2"/>
      <c r="M5" s="2"/>
    </row>
    <row r="6" spans="1:13" ht="17.25" x14ac:dyDescent="0.3">
      <c r="A6" s="103"/>
      <c r="B6" s="103"/>
      <c r="C6" s="103"/>
      <c r="D6" s="103"/>
      <c r="E6" s="103"/>
      <c r="F6" s="103"/>
      <c r="G6" s="103"/>
      <c r="H6" s="103"/>
      <c r="I6" s="2"/>
      <c r="J6" s="2"/>
      <c r="K6" s="2"/>
      <c r="L6" s="2"/>
      <c r="M6" s="2"/>
    </row>
    <row r="7" spans="1:13" ht="17.25" x14ac:dyDescent="0.3">
      <c r="A7" s="103"/>
      <c r="B7" s="103"/>
      <c r="C7" s="103"/>
      <c r="D7" s="103"/>
      <c r="E7" s="103"/>
      <c r="F7" s="103"/>
      <c r="G7" s="103"/>
      <c r="H7" s="103"/>
      <c r="I7" s="105"/>
      <c r="J7" s="105"/>
      <c r="K7" s="2"/>
      <c r="L7" s="2"/>
      <c r="M7" s="2"/>
    </row>
    <row r="8" spans="1:13" ht="17.25" x14ac:dyDescent="0.3">
      <c r="A8" s="103"/>
      <c r="B8" s="103"/>
      <c r="C8" s="103"/>
      <c r="D8" s="103"/>
      <c r="E8" s="103"/>
      <c r="F8" s="103"/>
      <c r="G8" s="103"/>
      <c r="H8" s="103"/>
      <c r="I8" s="105"/>
      <c r="J8" s="105"/>
      <c r="K8" s="2"/>
      <c r="L8" s="2"/>
      <c r="M8" s="2"/>
    </row>
    <row r="9" spans="1:13" ht="17.25" x14ac:dyDescent="0.3">
      <c r="A9" s="103"/>
      <c r="B9" s="103"/>
      <c r="C9" s="103"/>
      <c r="D9" s="103"/>
      <c r="E9" s="103"/>
      <c r="F9" s="103"/>
      <c r="G9" s="103"/>
      <c r="H9" s="103"/>
      <c r="I9" s="2"/>
      <c r="K9" s="36"/>
      <c r="L9" s="2"/>
      <c r="M9" s="2"/>
    </row>
    <row r="10" spans="1:13" ht="18" thickBot="1" x14ac:dyDescent="0.35">
      <c r="A10" s="103"/>
      <c r="B10" s="103"/>
      <c r="C10" s="103"/>
      <c r="D10" s="103"/>
      <c r="E10" s="103"/>
      <c r="F10" s="103"/>
      <c r="G10" s="103"/>
      <c r="H10" s="103"/>
      <c r="I10" s="105"/>
      <c r="J10" s="105"/>
      <c r="K10" s="36"/>
      <c r="L10" s="2"/>
      <c r="M10" s="2"/>
    </row>
    <row r="11" spans="1:13" ht="21" thickBot="1" x14ac:dyDescent="0.35">
      <c r="A11" s="106" t="s">
        <v>58</v>
      </c>
      <c r="B11" s="107"/>
      <c r="C11" s="107"/>
      <c r="D11" s="107"/>
      <c r="E11" s="107"/>
      <c r="F11" s="107"/>
      <c r="G11" s="107"/>
      <c r="H11" s="108"/>
      <c r="I11" s="2"/>
      <c r="J11" s="2"/>
      <c r="K11" s="36"/>
      <c r="L11" s="2"/>
      <c r="M11" s="2"/>
    </row>
    <row r="12" spans="1:13" ht="18" thickBot="1" x14ac:dyDescent="0.35">
      <c r="A12" s="102"/>
      <c r="B12" s="102"/>
      <c r="C12" s="102"/>
      <c r="D12" s="102"/>
      <c r="E12" s="102"/>
      <c r="F12" s="102"/>
      <c r="G12" s="102"/>
      <c r="H12" s="102"/>
      <c r="K12" s="2"/>
      <c r="L12" s="2"/>
      <c r="M12" s="2"/>
    </row>
    <row r="13" spans="1:13" ht="18.75" x14ac:dyDescent="0.3">
      <c r="A13" s="109" t="s">
        <v>59</v>
      </c>
      <c r="B13" s="110"/>
      <c r="C13" s="111"/>
      <c r="D13" s="2"/>
      <c r="E13" s="112" t="s">
        <v>60</v>
      </c>
      <c r="F13" s="2"/>
      <c r="G13" s="2"/>
      <c r="H13" s="2"/>
      <c r="K13" s="2"/>
      <c r="L13" s="2"/>
      <c r="M13" s="2"/>
    </row>
    <row r="14" spans="1:13" ht="18" thickBot="1" x14ac:dyDescent="0.35">
      <c r="A14" s="113" t="s">
        <v>61</v>
      </c>
      <c r="B14" s="114"/>
      <c r="C14" s="114"/>
      <c r="D14" s="115" t="s">
        <v>62</v>
      </c>
      <c r="E14" s="115" t="s">
        <v>63</v>
      </c>
      <c r="F14" s="115" t="s">
        <v>64</v>
      </c>
      <c r="G14" s="116" t="s">
        <v>65</v>
      </c>
      <c r="H14" s="115"/>
      <c r="I14" s="2"/>
      <c r="J14" s="2"/>
      <c r="K14" s="2"/>
      <c r="M14" s="36"/>
    </row>
    <row r="15" spans="1:13" ht="18" thickBot="1" x14ac:dyDescent="0.35">
      <c r="A15" s="117" t="s">
        <v>66</v>
      </c>
      <c r="B15" s="118"/>
      <c r="C15" s="119"/>
      <c r="D15" s="119"/>
      <c r="E15" s="119"/>
      <c r="F15" s="120">
        <f>SUM(F16:F32)</f>
        <v>721.4799999999999</v>
      </c>
      <c r="G15" s="120">
        <f>SUM(G16:G32)</f>
        <v>40.185000000000002</v>
      </c>
      <c r="H15" s="121">
        <f>SUM(H16:H18)</f>
        <v>30425</v>
      </c>
      <c r="I15" s="2"/>
    </row>
    <row r="16" spans="1:13" ht="17.25" x14ac:dyDescent="0.3">
      <c r="A16" s="2" t="s">
        <v>136</v>
      </c>
      <c r="B16" s="126"/>
      <c r="C16" s="126"/>
      <c r="D16" s="127" t="s">
        <v>56</v>
      </c>
      <c r="E16" s="127">
        <f>IF(D16="Dewald", [1]Employees!$G$20,IF(D16="Hannes",[1]Employees!$G$19,IF(D16="Johan",[1]Employees!$G$21,"")))</f>
        <v>625</v>
      </c>
      <c r="F16" s="36">
        <f>G16*8</f>
        <v>32.28</v>
      </c>
      <c r="G16" s="128">
        <v>4.0350000000000001</v>
      </c>
      <c r="H16" s="129">
        <f>F16*E16</f>
        <v>20175</v>
      </c>
      <c r="I16" s="2"/>
    </row>
    <row r="17" spans="1:14" ht="17.25" x14ac:dyDescent="0.3">
      <c r="A17" s="2" t="s">
        <v>135</v>
      </c>
      <c r="D17" s="127" t="s">
        <v>56</v>
      </c>
      <c r="E17" s="127">
        <f>IF(D17="Dewald", [1]Employees!$G$20,IF(D17="Hannes",[1]Employees!$G$19,IF(D17="Johan",[1]Employees!$G$21,"")))</f>
        <v>625</v>
      </c>
      <c r="F17" s="36">
        <f>G17*8</f>
        <v>16.399999999999999</v>
      </c>
      <c r="G17" s="128">
        <v>2.0499999999999998</v>
      </c>
      <c r="H17" s="129">
        <f>F17*E17</f>
        <v>10250</v>
      </c>
      <c r="I17" s="2"/>
    </row>
    <row r="18" spans="1:14" ht="17.25" x14ac:dyDescent="0.3">
      <c r="A18" s="135"/>
      <c r="B18" s="135"/>
      <c r="C18" s="2"/>
      <c r="D18" s="127"/>
      <c r="E18" s="127"/>
      <c r="F18" s="36"/>
      <c r="G18" s="128"/>
      <c r="H18" s="129"/>
      <c r="I18" s="2"/>
    </row>
    <row r="19" spans="1:14" ht="18" thickBot="1" x14ac:dyDescent="0.35">
      <c r="A19" s="135"/>
      <c r="B19" s="135"/>
      <c r="C19" s="2"/>
      <c r="D19" s="127"/>
      <c r="E19" s="127"/>
      <c r="F19" s="36"/>
      <c r="G19" s="128"/>
      <c r="H19" s="129"/>
      <c r="I19" s="2"/>
      <c r="J19" s="137"/>
      <c r="K19" s="137"/>
    </row>
    <row r="20" spans="1:14" ht="18" thickBot="1" x14ac:dyDescent="0.35">
      <c r="A20" s="117" t="s">
        <v>134</v>
      </c>
      <c r="B20" s="118"/>
      <c r="C20" s="119"/>
      <c r="D20" s="119"/>
      <c r="E20" s="119"/>
      <c r="F20" s="120">
        <f>SUM(F21:F37)</f>
        <v>536.4</v>
      </c>
      <c r="G20" s="120">
        <f>SUM(G21:G37)</f>
        <v>17.05</v>
      </c>
      <c r="H20" s="121">
        <f>SUM(H22:H25)</f>
        <v>57650</v>
      </c>
      <c r="I20" s="2"/>
    </row>
    <row r="21" spans="1:14" ht="17.25" x14ac:dyDescent="0.3">
      <c r="A21" s="135"/>
      <c r="B21" s="135"/>
      <c r="C21" s="2"/>
      <c r="D21" s="127"/>
      <c r="E21" s="127"/>
      <c r="F21" s="36"/>
      <c r="G21" s="128"/>
      <c r="H21" s="129"/>
      <c r="I21" s="2"/>
    </row>
    <row r="22" spans="1:14" ht="17.25" x14ac:dyDescent="0.3">
      <c r="A22" s="130" t="s">
        <v>68</v>
      </c>
      <c r="B22" s="130"/>
      <c r="C22" s="2"/>
      <c r="D22" s="127" t="s">
        <v>69</v>
      </c>
      <c r="E22" s="127">
        <f>IF(D22="Dewald", [1]Employees!$G$20,IF(D22="Hannes",[1]Employees!$G$19,IF(D22="Johan",[1]Employees!$G$21,"")))</f>
        <v>395</v>
      </c>
      <c r="F22" s="36">
        <f>G22*8</f>
        <v>120</v>
      </c>
      <c r="G22" s="128">
        <v>15</v>
      </c>
      <c r="H22" s="129">
        <f t="shared" ref="H22" si="0">F22*E22</f>
        <v>47400</v>
      </c>
      <c r="I22" s="2"/>
    </row>
    <row r="23" spans="1:14" ht="17.25" x14ac:dyDescent="0.3">
      <c r="A23" s="130" t="s">
        <v>70</v>
      </c>
      <c r="B23" s="130"/>
      <c r="C23" s="2"/>
      <c r="D23" s="127" t="s">
        <v>56</v>
      </c>
      <c r="E23" s="127">
        <f>IF(D23="Dewald", [1]Employees!$G$20,IF(D23="Hannes",[1]Employees!$G$19,IF(D23="Johan",[1]Employees!$G$21,"")))</f>
        <v>625</v>
      </c>
      <c r="F23" s="36">
        <f>G23*8</f>
        <v>16.399999999999999</v>
      </c>
      <c r="G23" s="128">
        <v>2.0499999999999998</v>
      </c>
      <c r="H23" s="129">
        <f>F23*E23</f>
        <v>10250</v>
      </c>
      <c r="I23" s="2"/>
    </row>
    <row r="24" spans="1:14" ht="17.25" x14ac:dyDescent="0.3">
      <c r="A24" s="135" t="s">
        <v>90</v>
      </c>
      <c r="D24" s="127" t="s">
        <v>56</v>
      </c>
      <c r="E24" s="127">
        <v>625</v>
      </c>
      <c r="F24" s="36">
        <f>G24*8</f>
        <v>0</v>
      </c>
      <c r="G24" s="128">
        <v>0</v>
      </c>
      <c r="H24" s="129">
        <f>F24*E24</f>
        <v>0</v>
      </c>
      <c r="I24" s="2"/>
    </row>
    <row r="25" spans="1:14" ht="18" thickBot="1" x14ac:dyDescent="0.35">
      <c r="A25" s="135" t="s">
        <v>91</v>
      </c>
      <c r="B25" s="285"/>
      <c r="D25" s="127" t="s">
        <v>56</v>
      </c>
      <c r="E25" s="127">
        <f>IF(D25="Dewald", [1]Employees!$G$20,IF(D25="Hannes",[1]Employees!$G$19,IF(D25="Johan",[1]Employees!$G$21,"")))</f>
        <v>625</v>
      </c>
      <c r="F25" s="36">
        <f>G25*8</f>
        <v>0</v>
      </c>
      <c r="G25" s="128">
        <v>0</v>
      </c>
      <c r="H25" s="129">
        <f>F25*E25</f>
        <v>0</v>
      </c>
      <c r="I25" s="2"/>
    </row>
    <row r="26" spans="1:14" ht="18" thickBot="1" x14ac:dyDescent="0.35">
      <c r="H26" s="137"/>
      <c r="I26" s="2"/>
      <c r="J26" s="122" t="s">
        <v>67</v>
      </c>
      <c r="K26" s="123"/>
      <c r="L26" s="124"/>
      <c r="M26" s="125">
        <f>G15</f>
        <v>40.185000000000002</v>
      </c>
    </row>
    <row r="27" spans="1:14" ht="18" x14ac:dyDescent="0.3">
      <c r="A27" s="143"/>
      <c r="B27" s="143"/>
      <c r="D27" s="144"/>
      <c r="F27" s="144" t="s">
        <v>76</v>
      </c>
      <c r="G27" s="143"/>
      <c r="H27" s="145">
        <f>SUM(H20+H15)</f>
        <v>88075</v>
      </c>
      <c r="I27" s="2"/>
      <c r="M27" s="36"/>
    </row>
    <row r="28" spans="1:14" ht="18.75" thickBot="1" x14ac:dyDescent="0.35">
      <c r="A28" s="143"/>
      <c r="B28" s="143"/>
      <c r="C28" s="143"/>
      <c r="F28" s="144" t="s">
        <v>77</v>
      </c>
      <c r="G28" s="148">
        <v>0</v>
      </c>
      <c r="H28" s="145">
        <f>H27*G28</f>
        <v>0</v>
      </c>
      <c r="I28" s="2"/>
      <c r="M28" s="36"/>
    </row>
    <row r="29" spans="1:14" ht="19.5" thickBot="1" x14ac:dyDescent="0.35">
      <c r="A29" s="2"/>
      <c r="B29" s="2"/>
      <c r="C29" s="2"/>
      <c r="D29" s="2"/>
      <c r="F29" s="149" t="s">
        <v>78</v>
      </c>
      <c r="G29" s="150"/>
      <c r="H29" s="151">
        <f>(H27)</f>
        <v>88075</v>
      </c>
      <c r="I29" s="2"/>
      <c r="J29" s="131" t="s">
        <v>71</v>
      </c>
      <c r="K29" s="132"/>
      <c r="L29" s="133"/>
      <c r="M29" s="134">
        <f>H29/M26</f>
        <v>2191.7382107751646</v>
      </c>
    </row>
    <row r="30" spans="1:14" ht="17.25" x14ac:dyDescent="0.3">
      <c r="A30" s="2"/>
      <c r="B30" s="2"/>
      <c r="C30" s="2"/>
      <c r="D30" s="2"/>
      <c r="E30" s="2"/>
      <c r="F30" s="2"/>
      <c r="G30" s="2"/>
      <c r="H30" s="2"/>
      <c r="I30" s="2"/>
      <c r="M30" s="136"/>
    </row>
    <row r="31" spans="1:14" ht="18" thickBot="1" x14ac:dyDescent="0.35">
      <c r="A31" s="155"/>
      <c r="B31" s="155"/>
      <c r="C31" s="155"/>
      <c r="D31" s="155"/>
      <c r="E31" s="155"/>
      <c r="F31" s="155"/>
      <c r="G31" s="155"/>
      <c r="H31" s="155"/>
      <c r="I31" s="2"/>
    </row>
    <row r="32" spans="1:14" ht="18" thickBot="1" x14ac:dyDescent="0.35">
      <c r="H32" s="137"/>
      <c r="I32" s="2"/>
      <c r="J32" s="138" t="s">
        <v>72</v>
      </c>
      <c r="K32" s="139" t="s">
        <v>73</v>
      </c>
      <c r="L32" s="140" t="s">
        <v>74</v>
      </c>
      <c r="M32" s="141" t="s">
        <v>75</v>
      </c>
      <c r="N32" s="142" t="s">
        <v>133</v>
      </c>
    </row>
    <row r="33" spans="1:14" ht="19.5" thickBot="1" x14ac:dyDescent="0.35">
      <c r="A33" s="157" t="s">
        <v>81</v>
      </c>
      <c r="B33" s="158"/>
      <c r="C33" s="159"/>
      <c r="D33" s="2"/>
      <c r="E33" s="36"/>
      <c r="F33" s="2"/>
      <c r="G33" s="2"/>
      <c r="H33" s="2"/>
      <c r="I33" s="2"/>
      <c r="J33" s="146">
        <f>H29</f>
        <v>88075</v>
      </c>
      <c r="K33" s="127">
        <f>J33*0.05</f>
        <v>4403.75</v>
      </c>
      <c r="L33" s="127">
        <f>J33-K33</f>
        <v>83671.25</v>
      </c>
      <c r="M33" s="146">
        <f>L33-N33</f>
        <v>48808.229166666664</v>
      </c>
      <c r="N33" s="147">
        <f>L33/2.4</f>
        <v>34863.020833333336</v>
      </c>
    </row>
    <row r="34" spans="1:14" ht="18" thickBot="1" x14ac:dyDescent="0.35">
      <c r="A34" s="161" t="s">
        <v>61</v>
      </c>
      <c r="B34" s="162"/>
      <c r="C34" s="162"/>
      <c r="D34" s="162"/>
      <c r="E34" s="162"/>
      <c r="F34" s="162"/>
      <c r="G34" s="163"/>
      <c r="H34" s="164"/>
      <c r="M34" s="136"/>
    </row>
    <row r="35" spans="1:14" ht="18" thickBot="1" x14ac:dyDescent="0.35">
      <c r="I35" s="2"/>
      <c r="J35" s="152" t="s">
        <v>79</v>
      </c>
      <c r="K35" s="153"/>
      <c r="L35" s="153"/>
      <c r="M35" s="154">
        <f>M33*0.15</f>
        <v>7321.2343749999991</v>
      </c>
    </row>
    <row r="36" spans="1:14" ht="18" thickBot="1" x14ac:dyDescent="0.35">
      <c r="A36" s="166" t="s">
        <v>66</v>
      </c>
      <c r="B36" s="167"/>
      <c r="C36" s="119"/>
      <c r="D36" s="162" t="s">
        <v>62</v>
      </c>
      <c r="E36" s="162" t="s">
        <v>85</v>
      </c>
      <c r="F36" s="162" t="s">
        <v>86</v>
      </c>
      <c r="G36" s="168"/>
      <c r="H36" s="121">
        <f>SUM(H37:H39)</f>
        <v>28000</v>
      </c>
      <c r="I36" s="2"/>
    </row>
    <row r="37" spans="1:14" ht="18" thickBot="1" x14ac:dyDescent="0.35">
      <c r="A37" s="2" t="s">
        <v>136</v>
      </c>
      <c r="B37" s="126"/>
      <c r="C37" s="126"/>
      <c r="D37" s="127" t="s">
        <v>56</v>
      </c>
      <c r="E37" s="28">
        <v>50</v>
      </c>
      <c r="F37" s="2">
        <v>400</v>
      </c>
      <c r="G37" s="172"/>
      <c r="H37" s="129">
        <f>F37*E37</f>
        <v>20000</v>
      </c>
      <c r="I37" s="2"/>
      <c r="J37" s="156" t="s">
        <v>80</v>
      </c>
      <c r="K37" s="153"/>
      <c r="L37" s="153"/>
      <c r="M37" s="154">
        <f>M33-M35</f>
        <v>41486.994791666664</v>
      </c>
    </row>
    <row r="38" spans="1:14" ht="17.25" x14ac:dyDescent="0.3">
      <c r="A38" s="2" t="s">
        <v>135</v>
      </c>
      <c r="D38" s="127" t="s">
        <v>56</v>
      </c>
      <c r="E38" s="28">
        <v>20</v>
      </c>
      <c r="F38" s="2">
        <v>400</v>
      </c>
      <c r="G38" s="172"/>
      <c r="H38" s="129">
        <f t="shared" ref="H38:H39" si="1">F38*E38</f>
        <v>8000</v>
      </c>
    </row>
    <row r="39" spans="1:14" ht="17.25" x14ac:dyDescent="0.3">
      <c r="J39" s="2"/>
      <c r="K39" s="160"/>
      <c r="M39" s="136"/>
    </row>
    <row r="40" spans="1:14" ht="15.75" thickBot="1" x14ac:dyDescent="0.3"/>
    <row r="41" spans="1:14" ht="18" thickBot="1" x14ac:dyDescent="0.35">
      <c r="A41" s="117" t="s">
        <v>134</v>
      </c>
      <c r="B41" s="118"/>
      <c r="C41" s="119"/>
      <c r="D41" s="119"/>
      <c r="E41" s="119"/>
      <c r="F41" s="120">
        <f>SUM(F42:F58)</f>
        <v>800</v>
      </c>
      <c r="G41" s="120">
        <f>SUM(G42:G58)</f>
        <v>0</v>
      </c>
      <c r="H41" s="121">
        <f>SUM(H43:H46)</f>
        <v>64000</v>
      </c>
      <c r="J41" s="165" t="s">
        <v>82</v>
      </c>
      <c r="K41" s="165" t="s">
        <v>83</v>
      </c>
      <c r="L41" s="165" t="s">
        <v>84</v>
      </c>
      <c r="M41" s="127"/>
    </row>
    <row r="42" spans="1:14" ht="16.5" x14ac:dyDescent="0.3">
      <c r="J42" s="169" t="s">
        <v>87</v>
      </c>
      <c r="K42" s="170">
        <v>0.6</v>
      </c>
      <c r="L42" s="171">
        <f>J33*K42</f>
        <v>52845</v>
      </c>
    </row>
    <row r="43" spans="1:14" ht="17.25" x14ac:dyDescent="0.3">
      <c r="A43" s="130" t="s">
        <v>68</v>
      </c>
      <c r="B43" s="130"/>
      <c r="D43" s="127" t="s">
        <v>56</v>
      </c>
      <c r="E43" s="28">
        <v>150</v>
      </c>
      <c r="F43" s="2">
        <v>400</v>
      </c>
      <c r="H43" s="129">
        <f>F43*E43</f>
        <v>60000</v>
      </c>
      <c r="J43" s="169" t="s">
        <v>88</v>
      </c>
      <c r="K43" s="170">
        <v>0.32</v>
      </c>
      <c r="L43" s="171">
        <f>J33*K43</f>
        <v>28184</v>
      </c>
    </row>
    <row r="44" spans="1:14" ht="18" thickBot="1" x14ac:dyDescent="0.35">
      <c r="A44" s="135" t="s">
        <v>70</v>
      </c>
      <c r="B44" s="135"/>
      <c r="C44" s="2"/>
      <c r="D44" s="127" t="s">
        <v>56</v>
      </c>
      <c r="E44" s="28">
        <v>10</v>
      </c>
      <c r="F44" s="2">
        <v>400</v>
      </c>
      <c r="G44" s="172"/>
      <c r="H44" s="129">
        <f t="shared" ref="H44:H46" si="2">F44*E44</f>
        <v>4000</v>
      </c>
      <c r="J44" s="173" t="s">
        <v>89</v>
      </c>
      <c r="K44" s="174">
        <v>0.08</v>
      </c>
      <c r="L44" s="175">
        <f>J33*K44</f>
        <v>7046</v>
      </c>
      <c r="M44" s="2"/>
    </row>
    <row r="45" spans="1:14" ht="18" thickBot="1" x14ac:dyDescent="0.35">
      <c r="A45" s="135" t="s">
        <v>90</v>
      </c>
      <c r="B45" s="135"/>
      <c r="D45" s="127" t="s">
        <v>56</v>
      </c>
      <c r="E45" s="28">
        <v>10</v>
      </c>
      <c r="F45" s="2">
        <v>0</v>
      </c>
      <c r="G45" s="2"/>
      <c r="H45" s="129">
        <f t="shared" si="2"/>
        <v>0</v>
      </c>
      <c r="J45" s="176" t="s">
        <v>0</v>
      </c>
      <c r="K45" s="177">
        <f>SUM(K42:K44)</f>
        <v>0.99999999999999989</v>
      </c>
      <c r="L45" s="178">
        <f>SUM(L42:L44)</f>
        <v>88075</v>
      </c>
      <c r="M45" s="2"/>
    </row>
    <row r="46" spans="1:14" ht="17.25" x14ac:dyDescent="0.3">
      <c r="A46" s="135" t="s">
        <v>91</v>
      </c>
      <c r="B46" s="135"/>
      <c r="D46" s="127" t="s">
        <v>56</v>
      </c>
      <c r="E46" s="28">
        <v>12</v>
      </c>
      <c r="F46" s="2">
        <v>0</v>
      </c>
      <c r="G46" s="2"/>
      <c r="H46" s="129">
        <f t="shared" si="2"/>
        <v>0</v>
      </c>
      <c r="J46" s="282"/>
      <c r="K46" s="283"/>
      <c r="L46" s="284"/>
      <c r="M46" s="2"/>
    </row>
    <row r="47" spans="1:14" ht="17.25" x14ac:dyDescent="0.3">
      <c r="J47" s="282"/>
      <c r="K47" s="283"/>
      <c r="L47" s="284"/>
      <c r="M47" s="2"/>
    </row>
    <row r="48" spans="1:14" ht="18" x14ac:dyDescent="0.3">
      <c r="A48" s="143"/>
      <c r="C48" s="143"/>
      <c r="D48" s="143"/>
      <c r="F48" s="144" t="s">
        <v>92</v>
      </c>
      <c r="G48" s="143"/>
      <c r="H48" s="145">
        <f>H36+H41</f>
        <v>92000</v>
      </c>
      <c r="J48" s="282"/>
      <c r="K48" s="283"/>
      <c r="L48" s="284"/>
      <c r="M48" s="2"/>
    </row>
    <row r="49" spans="1:13" ht="18.75" thickBot="1" x14ac:dyDescent="0.35">
      <c r="A49" s="143"/>
      <c r="B49" s="143"/>
      <c r="C49" s="143"/>
      <c r="E49" s="179"/>
      <c r="F49" s="144" t="s">
        <v>77</v>
      </c>
      <c r="G49" s="148">
        <v>0</v>
      </c>
      <c r="H49" s="112"/>
      <c r="J49" s="282"/>
      <c r="K49" s="283"/>
      <c r="L49" s="284"/>
      <c r="M49" s="2"/>
    </row>
    <row r="50" spans="1:13" ht="19.5" thickBot="1" x14ac:dyDescent="0.35">
      <c r="A50" s="2"/>
      <c r="B50" s="2"/>
      <c r="C50" s="2"/>
      <c r="D50" s="2"/>
      <c r="E50" s="2"/>
      <c r="F50" s="2"/>
      <c r="G50" s="180" t="s">
        <v>78</v>
      </c>
      <c r="H50" s="151">
        <f>H48</f>
        <v>92000</v>
      </c>
      <c r="J50" s="286"/>
      <c r="K50" s="283"/>
      <c r="L50" s="284"/>
      <c r="M50" s="2"/>
    </row>
    <row r="51" spans="1:13" ht="17.25" x14ac:dyDescent="0.3">
      <c r="J51" s="282"/>
      <c r="K51" s="283"/>
      <c r="L51" s="284"/>
      <c r="M51" s="2"/>
    </row>
    <row r="52" spans="1:13" ht="17.25" x14ac:dyDescent="0.3">
      <c r="J52" s="282"/>
      <c r="K52" s="283"/>
      <c r="L52" s="284"/>
      <c r="M52" s="2"/>
    </row>
    <row r="53" spans="1:13" ht="17.25" x14ac:dyDescent="0.3">
      <c r="J53" s="282"/>
      <c r="K53" s="283"/>
      <c r="L53" s="284"/>
      <c r="M53" s="2"/>
    </row>
    <row r="54" spans="1:13" ht="17.25" x14ac:dyDescent="0.3">
      <c r="A54" s="2"/>
      <c r="B54" s="2"/>
      <c r="C54" s="2"/>
      <c r="D54" s="2"/>
      <c r="E54" s="2"/>
      <c r="F54" s="2"/>
      <c r="G54" s="2"/>
      <c r="H54" s="2"/>
    </row>
    <row r="55" spans="1:13" ht="17.25" x14ac:dyDescent="0.3">
      <c r="A55" s="155"/>
      <c r="B55" s="155"/>
      <c r="C55" s="155"/>
      <c r="D55" s="155"/>
      <c r="E55" s="155"/>
      <c r="F55" s="155"/>
      <c r="G55" s="155"/>
      <c r="H55" s="155"/>
      <c r="J55" s="28"/>
      <c r="K55" s="28"/>
      <c r="M55" s="2"/>
    </row>
    <row r="56" spans="1:13" ht="18" thickBot="1" x14ac:dyDescent="0.35">
      <c r="L56" s="2"/>
      <c r="M56" s="2"/>
    </row>
    <row r="57" spans="1:13" ht="19.5" thickBot="1" x14ac:dyDescent="0.35">
      <c r="A57" s="181" t="s">
        <v>1</v>
      </c>
      <c r="B57" s="182"/>
      <c r="C57" s="183"/>
      <c r="D57" s="2"/>
      <c r="E57" s="2"/>
      <c r="F57" s="2"/>
      <c r="G57" s="2"/>
      <c r="H57" s="2"/>
      <c r="J57" s="104" t="s">
        <v>93</v>
      </c>
      <c r="K57" s="104" t="s">
        <v>94</v>
      </c>
      <c r="L57" s="104" t="s">
        <v>95</v>
      </c>
      <c r="M57" s="104" t="s">
        <v>96</v>
      </c>
    </row>
    <row r="58" spans="1:13" ht="18" thickBot="1" x14ac:dyDescent="0.35">
      <c r="A58" s="161" t="s">
        <v>2</v>
      </c>
      <c r="B58" s="162"/>
      <c r="C58" s="162"/>
      <c r="D58" s="184"/>
      <c r="E58" s="185"/>
      <c r="F58" s="162" t="s">
        <v>85</v>
      </c>
      <c r="G58" s="185" t="s">
        <v>97</v>
      </c>
      <c r="H58" s="186" t="s">
        <v>13</v>
      </c>
      <c r="J58" s="187" t="s">
        <v>98</v>
      </c>
      <c r="K58" s="188">
        <v>20000</v>
      </c>
      <c r="L58" s="189">
        <v>1</v>
      </c>
      <c r="M58" s="190">
        <f t="shared" ref="M58:M65" si="3">K58*L58</f>
        <v>20000</v>
      </c>
    </row>
    <row r="59" spans="1:13" ht="17.25" x14ac:dyDescent="0.3">
      <c r="A59" s="191"/>
      <c r="B59" s="191"/>
      <c r="C59" s="191"/>
      <c r="D59" s="191"/>
      <c r="E59" s="192"/>
      <c r="F59" s="192"/>
      <c r="G59" s="193"/>
      <c r="H59" s="192"/>
      <c r="J59" s="194" t="s">
        <v>99</v>
      </c>
      <c r="K59" s="137">
        <v>3000</v>
      </c>
      <c r="L59" s="104">
        <v>4</v>
      </c>
      <c r="M59" s="195">
        <f t="shared" si="3"/>
        <v>12000</v>
      </c>
    </row>
    <row r="60" spans="1:13" ht="17.25" x14ac:dyDescent="0.3">
      <c r="A60" s="2"/>
      <c r="B60" s="196"/>
      <c r="C60" s="112"/>
      <c r="D60" s="2"/>
      <c r="E60" s="127"/>
      <c r="F60" s="127">
        <v>5500</v>
      </c>
      <c r="G60" s="36">
        <v>400</v>
      </c>
      <c r="H60" s="127">
        <f>G60*F60</f>
        <v>2200000</v>
      </c>
      <c r="J60" s="194" t="s">
        <v>100</v>
      </c>
      <c r="K60" s="137">
        <v>5000</v>
      </c>
      <c r="L60" s="104">
        <v>2</v>
      </c>
      <c r="M60" s="195">
        <f t="shared" si="3"/>
        <v>10000</v>
      </c>
    </row>
    <row r="61" spans="1:13" ht="17.25" x14ac:dyDescent="0.3">
      <c r="A61" s="2"/>
      <c r="B61" s="196"/>
      <c r="F61" s="127"/>
      <c r="G61" s="36"/>
      <c r="H61" s="127"/>
      <c r="J61" s="194" t="s">
        <v>101</v>
      </c>
      <c r="K61" s="137">
        <v>8000</v>
      </c>
      <c r="L61" s="104">
        <v>1</v>
      </c>
      <c r="M61" s="195">
        <f t="shared" si="3"/>
        <v>8000</v>
      </c>
    </row>
    <row r="62" spans="1:13" ht="17.25" x14ac:dyDescent="0.3">
      <c r="A62" s="2"/>
      <c r="J62" s="194" t="s">
        <v>102</v>
      </c>
      <c r="K62" s="137">
        <v>5000</v>
      </c>
      <c r="L62" s="104">
        <v>1</v>
      </c>
      <c r="M62" s="195">
        <f t="shared" si="3"/>
        <v>5000</v>
      </c>
    </row>
    <row r="63" spans="1:13" ht="18" thickBot="1" x14ac:dyDescent="0.35">
      <c r="A63" s="2"/>
      <c r="B63" s="2"/>
      <c r="C63" s="2"/>
      <c r="D63" s="2" t="s">
        <v>103</v>
      </c>
      <c r="E63" s="127"/>
      <c r="F63" s="127"/>
      <c r="G63" s="36"/>
      <c r="H63" s="127"/>
      <c r="J63" s="194" t="s">
        <v>104</v>
      </c>
      <c r="K63" s="137">
        <v>2000</v>
      </c>
      <c r="L63" s="104">
        <v>1</v>
      </c>
      <c r="M63" s="195">
        <f t="shared" si="3"/>
        <v>2000</v>
      </c>
    </row>
    <row r="64" spans="1:13" ht="18" thickBot="1" x14ac:dyDescent="0.35">
      <c r="A64" s="2"/>
      <c r="B64" s="2"/>
      <c r="C64" s="2"/>
      <c r="D64" s="2"/>
      <c r="E64" s="197"/>
      <c r="F64" s="198" t="s">
        <v>0</v>
      </c>
      <c r="G64" s="199">
        <f>SUM(G59:G62)</f>
        <v>400</v>
      </c>
      <c r="H64" s="200">
        <f>SUM(H59:H63)</f>
        <v>2200000</v>
      </c>
      <c r="J64" s="194" t="s">
        <v>105</v>
      </c>
      <c r="K64" s="137">
        <v>7000</v>
      </c>
      <c r="L64" s="104">
        <v>1</v>
      </c>
      <c r="M64" s="195">
        <f t="shared" si="3"/>
        <v>7000</v>
      </c>
    </row>
    <row r="65" spans="1:13" ht="15.75" thickBot="1" x14ac:dyDescent="0.3">
      <c r="J65" s="194" t="s">
        <v>106</v>
      </c>
      <c r="K65" s="137">
        <v>15000</v>
      </c>
      <c r="L65" s="104">
        <v>1</v>
      </c>
      <c r="M65" s="195">
        <f t="shared" si="3"/>
        <v>15000</v>
      </c>
    </row>
    <row r="66" spans="1:13" ht="19.5" thickBot="1" x14ac:dyDescent="0.35">
      <c r="A66" s="201" t="s">
        <v>3</v>
      </c>
      <c r="B66" s="202"/>
      <c r="C66" s="202"/>
      <c r="D66" s="202"/>
      <c r="E66" s="203">
        <f>H64</f>
        <v>2200000</v>
      </c>
      <c r="F66" s="204"/>
      <c r="G66" s="204"/>
      <c r="H66" s="205"/>
      <c r="I66" s="2"/>
      <c r="J66" s="206"/>
      <c r="K66" s="207"/>
      <c r="L66" s="207"/>
      <c r="M66" s="208">
        <f>SUM(M58:M65)</f>
        <v>79000</v>
      </c>
    </row>
    <row r="67" spans="1:13" ht="18.75" x14ac:dyDescent="0.3">
      <c r="A67" s="209" t="s">
        <v>4</v>
      </c>
      <c r="B67" s="210"/>
      <c r="C67" s="210"/>
      <c r="D67" s="210"/>
      <c r="E67" s="211" t="s">
        <v>107</v>
      </c>
      <c r="F67" s="211"/>
      <c r="G67" s="211"/>
      <c r="H67" s="211"/>
    </row>
    <row r="68" spans="1:13" ht="15.75" thickBot="1" x14ac:dyDescent="0.3"/>
    <row r="69" spans="1:13" ht="20.25" thickBot="1" x14ac:dyDescent="0.3">
      <c r="A69" s="212" t="s">
        <v>28</v>
      </c>
      <c r="B69" s="213"/>
      <c r="C69" s="213"/>
      <c r="D69" s="213"/>
      <c r="E69" s="213"/>
      <c r="F69" s="213"/>
      <c r="G69" s="213"/>
      <c r="H69" s="214"/>
    </row>
    <row r="71" spans="1:13" ht="17.25" x14ac:dyDescent="0.25">
      <c r="A71" s="215" t="s">
        <v>5</v>
      </c>
      <c r="B71" s="216"/>
      <c r="C71" s="216"/>
      <c r="D71" s="217"/>
      <c r="E71" s="218">
        <f>IF($E$67="Medium",IF($E$66&gt;Data!C40,IF($E$66&gt;Data!C41,IF($E$66&gt;Data!C42,IF($E$66&gt;Data!C43,IF($E$66&gt;Data!C44,IF($E$66&gt;Data!C45,IF($E$66&gt;Data!C46,IF($E$66&gt;Data!C47,IF($E$66&gt;Data!C48,IF($E$66&gt;Data!C49,IF($E$66&gt;Data!C50,Data!D51,Data!D50),Data!D49),Data!D48),Data!D47),Data!D46),Data!D45),Data!D44),Data!D43),Data!D42),Data!D41),Data!D40),IF($E$67="High",(IF($E$66&gt;Data!C21,IF($E$66&gt;Data!C22,IF($E$66&gt;Data!C23,IF($E$66&gt;Data!C24,IF($E$66&gt;Data!C25,IF($E$66&gt;Data!C26,IF($E$66&gt;Data!C27,IF($E$66&gt;Data!C28,IF($E$66&gt;Data!C29,IF($E$66&gt;Data!C30,IF($E$66&gt;Data!C31,Data!D32,Data!D31),Data!D29),Data!D28),Data!D27),Data!D26),Data!D25),Data!D44),Data!D24),Data!D23),Data!D22),Data!D21)),IF($E$67="Low",(IF($E$66&gt;Data!C59,IF($E$66&gt;Data!C60,IF($E$66&gt;Data!C61,IF($E$66&gt;Data!C62,IF($E$66&gt;Data!C63,IF($E$66&gt;Data!C64,IF($E$66&gt;Data!C65,IF($E$66&gt;Data!C66,IF($E$66&gt;Data!C67,IF($E$66&gt;Data!C68,IF($E$66&gt;Data!C69,Data!D70,Data!D69),Data!D68),Data!D67),Data!D66),Data!D65),Data!D64),Data!D63),Data!D62),Data!D61),Data!D60),Data!D59)))))</f>
        <v>312886.84000000003</v>
      </c>
      <c r="F71" s="219"/>
      <c r="G71" s="219"/>
      <c r="H71" s="220"/>
    </row>
    <row r="72" spans="1:13" ht="17.25" x14ac:dyDescent="0.25">
      <c r="A72" s="221" t="s">
        <v>6</v>
      </c>
      <c r="B72" s="196"/>
      <c r="C72" s="196"/>
      <c r="D72" s="222"/>
      <c r="E72" s="223">
        <f>IF($E$67="Medium",($E$66-(VLOOKUP($E$71,Data!D40:F51,3,FALSE)))*(VLOOKUP($E$71,Data!D40:F51,2,FALSE)),IF($E$67="High",($E$66-(VLOOKUP($E$71,Data!D21:F32,3,FALSE)))*(VLOOKUP($E$71,Data!D21:F32,2,FALSE)),IF($E$67="Low",($E$66-(VLOOKUP($E$71,Data!D58:F70,3,FALSE)))*(VLOOKUP($E$71,Data!D58:F70,2,FALSE)))))</f>
        <v>23379.883099999999</v>
      </c>
      <c r="F72" s="224"/>
      <c r="G72" s="224"/>
      <c r="H72" s="225"/>
    </row>
    <row r="73" spans="1:13" ht="17.25" x14ac:dyDescent="0.25">
      <c r="A73" s="221"/>
      <c r="B73" s="196"/>
      <c r="C73" s="196"/>
      <c r="D73" s="222"/>
      <c r="E73" s="223">
        <f>E71+E72</f>
        <v>336266.7231</v>
      </c>
      <c r="F73" s="224"/>
      <c r="G73" s="224"/>
      <c r="H73" s="225"/>
    </row>
    <row r="74" spans="1:13" ht="17.25" x14ac:dyDescent="0.25">
      <c r="A74" s="221" t="s">
        <v>108</v>
      </c>
      <c r="B74" s="196"/>
      <c r="C74" s="196"/>
      <c r="D74" s="222"/>
      <c r="E74" s="226">
        <v>0</v>
      </c>
      <c r="F74" s="112"/>
      <c r="G74" s="112"/>
      <c r="H74" s="227"/>
    </row>
    <row r="75" spans="1:13" ht="18" x14ac:dyDescent="0.25">
      <c r="A75" s="228" t="s">
        <v>7</v>
      </c>
      <c r="B75" s="229"/>
      <c r="C75" s="229"/>
      <c r="D75" s="230"/>
      <c r="E75" s="231">
        <f>E73+E74</f>
        <v>336266.7231</v>
      </c>
      <c r="F75" s="232"/>
      <c r="G75" s="232"/>
      <c r="H75" s="233"/>
    </row>
    <row r="76" spans="1:13" ht="15.75" thickBot="1" x14ac:dyDescent="0.3"/>
    <row r="77" spans="1:13" ht="19.5" thickBot="1" x14ac:dyDescent="0.35">
      <c r="A77" s="234" t="s">
        <v>8</v>
      </c>
      <c r="B77" s="235"/>
      <c r="C77" s="235"/>
      <c r="D77" s="236"/>
      <c r="E77" s="237" t="s">
        <v>12</v>
      </c>
      <c r="F77" s="237" t="s">
        <v>109</v>
      </c>
      <c r="G77" s="238" t="s">
        <v>110</v>
      </c>
      <c r="H77" s="237" t="s">
        <v>14</v>
      </c>
    </row>
    <row r="78" spans="1:13" ht="17.25" x14ac:dyDescent="0.3">
      <c r="A78" s="239" t="s">
        <v>111</v>
      </c>
      <c r="B78" s="193" t="s">
        <v>112</v>
      </c>
      <c r="C78" s="193"/>
      <c r="D78" s="193"/>
      <c r="E78" s="240">
        <v>0.02</v>
      </c>
      <c r="F78" s="241">
        <f>$E$75*E78</f>
        <v>6725.3344619999998</v>
      </c>
      <c r="G78" s="240">
        <v>0</v>
      </c>
      <c r="H78" s="242">
        <f>IF(G78=0,F78,F78-(F78*G78))</f>
        <v>6725.3344619999998</v>
      </c>
    </row>
    <row r="79" spans="1:13" ht="17.25" x14ac:dyDescent="0.3">
      <c r="A79" s="1" t="s">
        <v>113</v>
      </c>
      <c r="B79" s="36" t="s">
        <v>114</v>
      </c>
      <c r="C79" s="36"/>
      <c r="D79" s="36"/>
      <c r="E79" s="243">
        <v>0.15</v>
      </c>
      <c r="F79" s="28">
        <f t="shared" ref="F79:F84" si="4">$E$75*E79</f>
        <v>50440.008464999999</v>
      </c>
      <c r="G79" s="243">
        <v>0</v>
      </c>
      <c r="H79" s="244">
        <f t="shared" ref="H79:H84" si="5">IF(G79=0,F79,F79-(F79*G79))</f>
        <v>50440.008464999999</v>
      </c>
    </row>
    <row r="80" spans="1:13" ht="17.25" x14ac:dyDescent="0.3">
      <c r="A80" s="1" t="s">
        <v>115</v>
      </c>
      <c r="B80" s="36" t="s">
        <v>116</v>
      </c>
      <c r="C80" s="36"/>
      <c r="D80" s="36"/>
      <c r="E80" s="243">
        <v>0.2</v>
      </c>
      <c r="F80" s="28">
        <f t="shared" si="4"/>
        <v>67253.344620000003</v>
      </c>
      <c r="G80" s="243">
        <v>0</v>
      </c>
      <c r="H80" s="244">
        <f t="shared" si="5"/>
        <v>67253.344620000003</v>
      </c>
      <c r="J80" s="245"/>
    </row>
    <row r="81" spans="1:13" ht="17.25" x14ac:dyDescent="0.3">
      <c r="A81" s="1" t="s">
        <v>9</v>
      </c>
      <c r="B81" s="36" t="s">
        <v>10</v>
      </c>
      <c r="C81" s="36"/>
      <c r="D81" s="36"/>
      <c r="E81" s="243">
        <v>0.1</v>
      </c>
      <c r="F81" s="28">
        <f t="shared" si="4"/>
        <v>33626.672310000002</v>
      </c>
      <c r="G81" s="243">
        <v>0</v>
      </c>
      <c r="H81" s="244">
        <f t="shared" si="5"/>
        <v>33626.672310000002</v>
      </c>
      <c r="J81" s="245"/>
    </row>
    <row r="82" spans="1:13" ht="17.25" x14ac:dyDescent="0.3">
      <c r="A82" s="1" t="s">
        <v>117</v>
      </c>
      <c r="B82" s="36" t="s">
        <v>118</v>
      </c>
      <c r="C82" s="36"/>
      <c r="D82" s="36"/>
      <c r="E82" s="243">
        <v>0.2</v>
      </c>
      <c r="F82" s="28">
        <f t="shared" si="4"/>
        <v>67253.344620000003</v>
      </c>
      <c r="G82" s="243">
        <v>1</v>
      </c>
      <c r="H82" s="244">
        <f>IF(G82=0,F82,F82-(F82*G82))</f>
        <v>0</v>
      </c>
      <c r="J82" s="245"/>
    </row>
    <row r="83" spans="1:13" ht="17.25" x14ac:dyDescent="0.3">
      <c r="A83" s="1" t="s">
        <v>119</v>
      </c>
      <c r="B83" s="36" t="s">
        <v>120</v>
      </c>
      <c r="C83" s="36"/>
      <c r="D83" s="36"/>
      <c r="E83" s="243">
        <v>0.3</v>
      </c>
      <c r="F83" s="28">
        <f t="shared" si="4"/>
        <v>100880.01693</v>
      </c>
      <c r="G83" s="243">
        <v>1</v>
      </c>
      <c r="H83" s="244">
        <f>IF(G83=0,F83,F83-(F83*G83))</f>
        <v>0</v>
      </c>
      <c r="J83" s="245"/>
    </row>
    <row r="84" spans="1:13" ht="18" thickBot="1" x14ac:dyDescent="0.35">
      <c r="A84" s="246" t="s">
        <v>121</v>
      </c>
      <c r="B84" s="247" t="s">
        <v>122</v>
      </c>
      <c r="C84" s="247"/>
      <c r="D84" s="247"/>
      <c r="E84" s="248">
        <v>0.03</v>
      </c>
      <c r="F84" s="249">
        <f t="shared" si="4"/>
        <v>10088.001693</v>
      </c>
      <c r="G84" s="248">
        <v>1</v>
      </c>
      <c r="H84" s="250">
        <f t="shared" si="5"/>
        <v>0</v>
      </c>
      <c r="J84" s="251"/>
    </row>
    <row r="85" spans="1:13" ht="18" thickBot="1" x14ac:dyDescent="0.35">
      <c r="A85" s="2"/>
      <c r="B85" s="2"/>
      <c r="C85" s="2"/>
      <c r="F85" s="2"/>
      <c r="G85" s="36"/>
      <c r="H85" s="2"/>
    </row>
    <row r="86" spans="1:13" ht="19.5" thickBot="1" x14ac:dyDescent="0.35">
      <c r="A86" s="2"/>
      <c r="B86" s="2"/>
      <c r="C86" s="2"/>
      <c r="E86" s="252" t="s">
        <v>123</v>
      </c>
      <c r="F86" s="253"/>
      <c r="G86" s="254"/>
      <c r="H86" s="255">
        <f>H87*(1-(SUM(H78:H84)/H87))</f>
        <v>178221.363243</v>
      </c>
    </row>
    <row r="87" spans="1:13" ht="19.5" thickBot="1" x14ac:dyDescent="0.35">
      <c r="B87" s="256"/>
      <c r="C87" s="256"/>
      <c r="E87" s="252" t="s">
        <v>124</v>
      </c>
      <c r="F87" s="253"/>
      <c r="G87" s="254"/>
      <c r="H87" s="255">
        <f>SUM(F78:F84)</f>
        <v>336266.7231</v>
      </c>
    </row>
    <row r="88" spans="1:13" ht="15.75" thickBot="1" x14ac:dyDescent="0.3"/>
    <row r="89" spans="1:13" ht="18.75" thickBot="1" x14ac:dyDescent="0.3">
      <c r="E89" s="257" t="s">
        <v>125</v>
      </c>
      <c r="F89" s="258"/>
      <c r="G89" s="259"/>
      <c r="H89" s="260">
        <f>H87-H86</f>
        <v>158045.359857</v>
      </c>
      <c r="J89" s="104">
        <v>297</v>
      </c>
      <c r="K89" s="104">
        <f>J89*30</f>
        <v>8910</v>
      </c>
    </row>
    <row r="90" spans="1:13" ht="17.25" x14ac:dyDescent="0.3">
      <c r="A90" s="2"/>
      <c r="B90" s="261"/>
      <c r="C90" s="262"/>
      <c r="D90" s="262"/>
      <c r="E90" s="127"/>
      <c r="F90" s="263"/>
      <c r="G90" s="112"/>
      <c r="H90" s="224"/>
    </row>
    <row r="91" spans="1:13" ht="17.25" x14ac:dyDescent="0.3">
      <c r="D91" s="2"/>
      <c r="E91" s="127"/>
      <c r="F91" s="127"/>
      <c r="G91" s="36"/>
      <c r="H91" s="127"/>
      <c r="K91" s="160"/>
    </row>
    <row r="92" spans="1:13" ht="17.25" x14ac:dyDescent="0.3">
      <c r="D92" s="264" t="s">
        <v>126</v>
      </c>
      <c r="E92" s="265"/>
      <c r="F92" s="266">
        <f>COUNT(D97:E102)</f>
        <v>4</v>
      </c>
      <c r="G92" s="267"/>
      <c r="H92" s="268">
        <f>SUM(H83:H84)/F92</f>
        <v>0</v>
      </c>
      <c r="J92" s="160"/>
    </row>
    <row r="93" spans="1:13" ht="17.25" x14ac:dyDescent="0.3">
      <c r="D93" s="2"/>
      <c r="E93" s="2"/>
      <c r="F93" s="2"/>
      <c r="G93" s="2"/>
      <c r="H93" s="2"/>
      <c r="J93" s="160"/>
    </row>
    <row r="94" spans="1:13" ht="17.25" x14ac:dyDescent="0.3">
      <c r="D94" s="264" t="s">
        <v>127</v>
      </c>
      <c r="E94" s="265"/>
      <c r="F94" s="269">
        <f>H94/850</f>
        <v>0</v>
      </c>
      <c r="G94" s="270"/>
      <c r="H94" s="268">
        <f>H92/20</f>
        <v>0</v>
      </c>
      <c r="M94" s="137"/>
    </row>
    <row r="95" spans="1:13" ht="17.25" x14ac:dyDescent="0.3">
      <c r="D95" s="2"/>
      <c r="E95" s="2"/>
      <c r="F95" s="2"/>
      <c r="G95" s="2"/>
      <c r="H95" s="2"/>
    </row>
    <row r="96" spans="1:13" ht="17.25" x14ac:dyDescent="0.3">
      <c r="D96" s="271" t="s">
        <v>128</v>
      </c>
      <c r="E96" s="272"/>
      <c r="F96" s="272" t="s">
        <v>129</v>
      </c>
      <c r="G96" s="272"/>
      <c r="H96" s="273" t="s">
        <v>130</v>
      </c>
    </row>
    <row r="97" spans="4:13" ht="17.25" x14ac:dyDescent="0.3">
      <c r="D97" s="114">
        <v>1</v>
      </c>
      <c r="E97" s="114"/>
      <c r="F97" s="274">
        <v>2</v>
      </c>
      <c r="G97" s="274"/>
      <c r="H97" s="275">
        <f>$H$92</f>
        <v>0</v>
      </c>
    </row>
    <row r="98" spans="4:13" ht="17.25" x14ac:dyDescent="0.3">
      <c r="D98" s="274">
        <v>2</v>
      </c>
      <c r="E98" s="274"/>
      <c r="F98" s="274">
        <v>2</v>
      </c>
      <c r="G98" s="274"/>
      <c r="H98" s="275">
        <f t="shared" ref="H98:H100" si="6">$H$92</f>
        <v>0</v>
      </c>
    </row>
    <row r="99" spans="4:13" ht="17.25" x14ac:dyDescent="0.3">
      <c r="D99" s="274">
        <v>3</v>
      </c>
      <c r="E99" s="274"/>
      <c r="F99" s="274">
        <v>4</v>
      </c>
      <c r="G99" s="274"/>
      <c r="H99" s="275">
        <f t="shared" si="6"/>
        <v>0</v>
      </c>
    </row>
    <row r="100" spans="4:13" ht="17.25" x14ac:dyDescent="0.3">
      <c r="D100" s="274">
        <v>4</v>
      </c>
      <c r="E100" s="274"/>
      <c r="F100" s="274">
        <v>4</v>
      </c>
      <c r="G100" s="274"/>
      <c r="H100" s="275">
        <f t="shared" si="6"/>
        <v>0</v>
      </c>
    </row>
    <row r="101" spans="4:13" ht="17.25" x14ac:dyDescent="0.3">
      <c r="D101" s="274"/>
      <c r="E101" s="274"/>
      <c r="F101" s="274"/>
      <c r="G101" s="274"/>
      <c r="H101" s="275"/>
    </row>
    <row r="102" spans="4:13" ht="17.25" x14ac:dyDescent="0.3">
      <c r="D102" s="274"/>
      <c r="E102" s="274"/>
      <c r="F102" s="274"/>
      <c r="G102" s="274"/>
      <c r="H102" s="275"/>
    </row>
    <row r="103" spans="4:13" ht="17.25" x14ac:dyDescent="0.3">
      <c r="D103" s="274"/>
      <c r="E103" s="274"/>
      <c r="F103" s="274"/>
      <c r="G103" s="274"/>
      <c r="H103" s="275"/>
    </row>
    <row r="105" spans="4:13" ht="22.5" customHeight="1" x14ac:dyDescent="0.3">
      <c r="D105" s="271" t="s">
        <v>131</v>
      </c>
      <c r="E105" s="272"/>
      <c r="F105" s="272"/>
      <c r="G105" s="272"/>
      <c r="H105" s="268">
        <f>SUM(H97:H102)</f>
        <v>0</v>
      </c>
    </row>
    <row r="106" spans="4:13" ht="17.25" x14ac:dyDescent="0.3">
      <c r="D106" s="36"/>
      <c r="E106" s="2"/>
      <c r="F106" s="2"/>
      <c r="G106" s="36"/>
      <c r="H106" s="275"/>
    </row>
    <row r="107" spans="4:13" ht="17.25" x14ac:dyDescent="0.3">
      <c r="D107" s="276" t="s">
        <v>132</v>
      </c>
      <c r="E107" s="267"/>
      <c r="F107" s="267"/>
      <c r="G107" s="267"/>
      <c r="H107" s="277">
        <f>SUM(F97:F100)</f>
        <v>12</v>
      </c>
      <c r="J107" s="278"/>
      <c r="L107" s="137"/>
    </row>
    <row r="108" spans="4:13" x14ac:dyDescent="0.25">
      <c r="L108" s="278"/>
      <c r="M108" s="137"/>
    </row>
    <row r="110" spans="4:13" x14ac:dyDescent="0.25">
      <c r="M110" s="160"/>
    </row>
    <row r="113" spans="4:14" x14ac:dyDescent="0.25">
      <c r="N113" s="137"/>
    </row>
    <row r="116" spans="4:14" x14ac:dyDescent="0.25">
      <c r="K116" s="279"/>
    </row>
    <row r="117" spans="4:14" x14ac:dyDescent="0.25">
      <c r="K117" s="280"/>
    </row>
    <row r="118" spans="4:14" x14ac:dyDescent="0.25">
      <c r="D118" s="281"/>
      <c r="E118" s="281"/>
    </row>
    <row r="119" spans="4:14" x14ac:dyDescent="0.25">
      <c r="D119" s="281"/>
      <c r="E119" s="281"/>
    </row>
    <row r="120" spans="4:14" x14ac:dyDescent="0.25">
      <c r="D120" s="281"/>
      <c r="E120" s="281"/>
    </row>
  </sheetData>
  <mergeCells count="41">
    <mergeCell ref="D120:E120"/>
    <mergeCell ref="A20:B20"/>
    <mergeCell ref="A41:B41"/>
    <mergeCell ref="B37:C37"/>
    <mergeCell ref="A43:B43"/>
    <mergeCell ref="D103:E103"/>
    <mergeCell ref="F103:G103"/>
    <mergeCell ref="D105:E105"/>
    <mergeCell ref="F105:G105"/>
    <mergeCell ref="D118:E118"/>
    <mergeCell ref="D119:E119"/>
    <mergeCell ref="D100:E100"/>
    <mergeCell ref="F100:G100"/>
    <mergeCell ref="D101:E101"/>
    <mergeCell ref="F101:G101"/>
    <mergeCell ref="D102:E102"/>
    <mergeCell ref="F102:G102"/>
    <mergeCell ref="D97:E97"/>
    <mergeCell ref="F97:G97"/>
    <mergeCell ref="D98:E98"/>
    <mergeCell ref="F98:G98"/>
    <mergeCell ref="D99:E99"/>
    <mergeCell ref="F99:G99"/>
    <mergeCell ref="E86:G86"/>
    <mergeCell ref="E87:G87"/>
    <mergeCell ref="E89:G89"/>
    <mergeCell ref="D92:E92"/>
    <mergeCell ref="D94:E94"/>
    <mergeCell ref="D96:E96"/>
    <mergeCell ref="F96:G96"/>
    <mergeCell ref="A22:B22"/>
    <mergeCell ref="A23:B23"/>
    <mergeCell ref="J29:L29"/>
    <mergeCell ref="E66:H66"/>
    <mergeCell ref="E67:H67"/>
    <mergeCell ref="A11:H11"/>
    <mergeCell ref="A13:C13"/>
    <mergeCell ref="A14:C14"/>
    <mergeCell ref="A15:B15"/>
    <mergeCell ref="J26:L26"/>
    <mergeCell ref="B16:C16"/>
  </mergeCells>
  <dataValidations count="2">
    <dataValidation type="list" allowBlank="1" showInputMessage="1" showErrorMessage="1" sqref="D16:D19 D21:D26 D43:D46 D37:D38" xr:uid="{5435D8BA-8B8F-44E4-BFFB-C1F3EED5740E}">
      <formula1>"Dewald, Hannes, Johan"</formula1>
    </dataValidation>
    <dataValidation type="list" allowBlank="1" showInputMessage="1" showErrorMessage="1" sqref="E67" xr:uid="{2FDFF169-E85C-4E20-9FB9-D2E70B738B92}">
      <formula1>"Low,Medium,High"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B8C80-E377-44FD-8FA5-A1AEAE094071}">
  <dimension ref="A1:J69"/>
  <sheetViews>
    <sheetView topLeftCell="A29" workbookViewId="0">
      <selection activeCell="D6" sqref="D6"/>
    </sheetView>
  </sheetViews>
  <sheetFormatPr defaultRowHeight="16.5" x14ac:dyDescent="0.3"/>
  <cols>
    <col min="1" max="1" width="43" style="33" customWidth="1"/>
    <col min="2" max="2" width="21.28515625" style="33" customWidth="1"/>
    <col min="3" max="3" width="20" style="33" customWidth="1"/>
    <col min="4" max="4" width="25.85546875" style="33" customWidth="1"/>
    <col min="5" max="5" width="14.28515625" style="33" customWidth="1"/>
    <col min="6" max="6" width="21.42578125" style="33" customWidth="1"/>
    <col min="7" max="7" width="12.140625" style="33" customWidth="1"/>
    <col min="8" max="8" width="24.140625" style="33" customWidth="1"/>
    <col min="9" max="9" width="44.85546875" style="33" customWidth="1"/>
    <col min="10" max="10" width="21.85546875" style="33" customWidth="1"/>
    <col min="11" max="16384" width="9.140625" style="33"/>
  </cols>
  <sheetData>
    <row r="1" spans="1:10" ht="17.25" thickBot="1" x14ac:dyDescent="0.35"/>
    <row r="2" spans="1:10" ht="18" thickBot="1" x14ac:dyDescent="0.35">
      <c r="A2" s="34" t="s">
        <v>3</v>
      </c>
      <c r="B2" s="35">
        <v>3240000</v>
      </c>
      <c r="C2" s="2"/>
      <c r="D2" s="2"/>
      <c r="E2" s="2"/>
      <c r="F2" s="2"/>
      <c r="G2" s="2"/>
      <c r="H2" s="2"/>
      <c r="I2" s="2"/>
      <c r="J2" s="2"/>
    </row>
    <row r="3" spans="1:10" ht="17.25" x14ac:dyDescent="0.3">
      <c r="A3" s="2" t="s">
        <v>4</v>
      </c>
      <c r="B3" s="36" t="s">
        <v>11</v>
      </c>
      <c r="C3" s="2"/>
      <c r="D3" s="2"/>
      <c r="E3" s="2"/>
      <c r="F3" s="2"/>
      <c r="G3" s="2"/>
      <c r="H3" s="2"/>
      <c r="I3" s="2"/>
      <c r="J3" s="2"/>
    </row>
    <row r="4" spans="1:10" ht="17.25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8" thickBot="1" x14ac:dyDescent="0.3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8" thickBot="1" x14ac:dyDescent="0.35">
      <c r="A6" s="67" t="s">
        <v>28</v>
      </c>
      <c r="B6" s="68"/>
      <c r="C6" s="2"/>
      <c r="D6" s="2"/>
      <c r="E6" s="2"/>
      <c r="F6" s="2"/>
      <c r="G6" s="2"/>
      <c r="H6" s="2"/>
      <c r="I6" s="2"/>
      <c r="J6" s="2"/>
    </row>
    <row r="7" spans="1:10" ht="17.25" x14ac:dyDescent="0.3">
      <c r="A7" s="37" t="s">
        <v>5</v>
      </c>
      <c r="B7" s="38">
        <f>IF(B3="Medium",IF($B$2&gt;C39,IF($B$2&gt;C40,IF($B$2&gt;C41,IF($B$2&gt;C42,IF($B$2&gt;C43,IF($B$2&gt;C44,IF($B$2&gt;C45,IF($B$2&gt;C46,IF($B$2&gt;C47,IF($B$2&gt;C48,IF($B$2&gt;C49,D50,D49),D48),D47),D46),D45),D44),D43),D42),D41),D40),D39),IF(B3="High",IF($B$2&gt;C20,IF($B$2&gt;C21,IF($B$2&gt;C22,IF($B$2&gt;C23,IF($B$2&gt;C24,IF($B$2&gt;C25,IF($B$2&gt;C26,IF($B$2&gt;C27,IF($B$2&gt;C28,IF($B$2&gt;C29,IF($B$2&gt;C30,D31,D30),D29),D28),D27),D26),D25),D24),D23),D22),D21),D20),IF(B3="Low",IF($B$2&gt;C58,IF($B$2&gt;C59,IF($B$2&gt;C60,IF($B$2&gt;C61,IF($B$2&gt;C62,IF($B$2&gt;C63,IF($B$2&gt;C64,IF($B$2&gt;C65,IF($B$2&gt;C66,IF($B$2&gt;C67,IF($B$2&gt;C68,D69,D68),D67),D66),D65),D64),D63),D62),D61),D60),D59),D58))))</f>
        <v>261510.57</v>
      </c>
      <c r="C7" s="2"/>
      <c r="D7" s="2"/>
      <c r="E7" s="2"/>
      <c r="F7" s="2"/>
      <c r="G7" s="2"/>
      <c r="H7" s="2"/>
      <c r="I7" s="2"/>
      <c r="J7" s="2"/>
    </row>
    <row r="8" spans="1:10" ht="18" thickBot="1" x14ac:dyDescent="0.35">
      <c r="A8" s="3" t="s">
        <v>6</v>
      </c>
      <c r="B8" s="39">
        <f>IF($B$3="Medium",($B$2-(VLOOKUP(B7,D39:F50,3,FALSE)))*(VLOOKUP(B7,D39:F50,2,FALSE)),IF($B$3="High",($B$2-(VLOOKUP(B7,D20:F31,3,FALSE)))*(VLOOKUP(B7,D20:F31,2,FALSE)),IF($B$3="Low",($B$2-(VLOOKUP(B7,D58:F69,3,FALSE)))*(VLOOKUP(B7,D58:F69,2,FALSE)))))</f>
        <v>121147.90229999999</v>
      </c>
      <c r="C8" s="2"/>
      <c r="D8" s="2"/>
      <c r="E8" s="2"/>
      <c r="F8" s="2"/>
      <c r="G8" s="2"/>
      <c r="H8" s="2"/>
      <c r="I8" s="2"/>
      <c r="J8" s="2"/>
    </row>
    <row r="9" spans="1:10" ht="18" thickBot="1" x14ac:dyDescent="0.35">
      <c r="A9" s="4" t="s">
        <v>30</v>
      </c>
      <c r="B9" s="40">
        <f>B7+B8</f>
        <v>382658.47230000002</v>
      </c>
      <c r="C9" s="2"/>
      <c r="D9" s="2"/>
      <c r="E9" s="2"/>
      <c r="F9" s="2"/>
      <c r="G9" s="2"/>
      <c r="H9" s="2"/>
      <c r="I9" s="2"/>
      <c r="J9" s="2"/>
    </row>
    <row r="10" spans="1:10" ht="18" thickBot="1" x14ac:dyDescent="0.35">
      <c r="A10" s="4" t="s">
        <v>29</v>
      </c>
      <c r="B10" s="41">
        <v>0</v>
      </c>
      <c r="C10" s="2"/>
      <c r="D10" s="2"/>
      <c r="E10" s="2"/>
      <c r="F10" s="2"/>
      <c r="G10" s="2"/>
      <c r="H10" s="2"/>
      <c r="I10" s="2"/>
      <c r="J10" s="2"/>
    </row>
    <row r="11" spans="1:10" ht="18" thickBot="1" x14ac:dyDescent="0.35">
      <c r="A11" s="4" t="s">
        <v>0</v>
      </c>
      <c r="B11" s="42">
        <f>SUM(B9:B10)</f>
        <v>382658.47230000002</v>
      </c>
      <c r="C11" s="2"/>
      <c r="D11" s="2"/>
      <c r="E11" s="2"/>
      <c r="F11" s="2"/>
      <c r="G11" s="2"/>
      <c r="H11" s="2"/>
      <c r="I11" s="2"/>
      <c r="J11" s="2"/>
    </row>
    <row r="12" spans="1:10" ht="17.25" x14ac:dyDescent="0.3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7.25" x14ac:dyDescent="0.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7.25" x14ac:dyDescent="0.3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7.25" x14ac:dyDescent="0.3">
      <c r="A15" s="69" t="s">
        <v>31</v>
      </c>
      <c r="B15" s="69"/>
      <c r="C15" s="69"/>
      <c r="D15" s="69"/>
      <c r="E15" s="69"/>
      <c r="F15" s="69"/>
      <c r="G15" s="2"/>
      <c r="H15" s="2"/>
      <c r="I15" s="2"/>
      <c r="J15" s="2"/>
    </row>
    <row r="16" spans="1:10" ht="17.25" x14ac:dyDescent="0.3">
      <c r="A16" s="66" t="s">
        <v>15</v>
      </c>
      <c r="B16" s="54" t="s">
        <v>16</v>
      </c>
      <c r="C16" s="55"/>
      <c r="D16" s="66" t="s">
        <v>5</v>
      </c>
      <c r="E16" s="54" t="s">
        <v>17</v>
      </c>
      <c r="F16" s="55"/>
      <c r="G16" s="2"/>
      <c r="H16" s="20" t="s">
        <v>18</v>
      </c>
      <c r="I16" s="21">
        <f>IF($B$2&gt;C20,IF($B$2&gt;C21,IF($B$2&gt;C22,IF($B$2&gt;C23,IF($B$2&gt;C24,IF($B$2&gt;C25,IF($B$2&gt;C26,IF($B$2&gt;C27,IF($B$2&gt;C28,IF($B$2&gt;C29,IF($B$2&gt;C30,D31,D30),D28),D27),D26),D25),D24),100),D23),D22),D21),D20)</f>
        <v>364263.1</v>
      </c>
      <c r="J16" s="22">
        <f>VLOOKUP(I16,D20:F31,2,FALSE)</f>
        <v>0.1361</v>
      </c>
    </row>
    <row r="17" spans="1:10" ht="17.25" x14ac:dyDescent="0.3">
      <c r="A17" s="66"/>
      <c r="B17" s="56"/>
      <c r="C17" s="57"/>
      <c r="D17" s="66"/>
      <c r="E17" s="56"/>
      <c r="F17" s="57"/>
      <c r="G17" s="2"/>
      <c r="H17" s="23"/>
      <c r="I17" s="2"/>
      <c r="J17" s="24">
        <f>VLOOKUP(I16,D20:F31,3,FALSE)</f>
        <v>2000001</v>
      </c>
    </row>
    <row r="18" spans="1:10" ht="17.25" x14ac:dyDescent="0.3">
      <c r="A18" s="66"/>
      <c r="B18" s="19" t="s">
        <v>19</v>
      </c>
      <c r="C18" s="19" t="s">
        <v>20</v>
      </c>
      <c r="D18" s="66"/>
      <c r="E18" s="19" t="s">
        <v>21</v>
      </c>
      <c r="F18" s="19" t="s">
        <v>22</v>
      </c>
      <c r="G18" s="2"/>
      <c r="H18" s="25"/>
      <c r="I18" s="26"/>
      <c r="J18" s="27">
        <f>($B$2-J17)*J16</f>
        <v>168763.8639</v>
      </c>
    </row>
    <row r="19" spans="1:10" ht="17.25" x14ac:dyDescent="0.3">
      <c r="A19" s="66"/>
      <c r="B19" s="19" t="s">
        <v>23</v>
      </c>
      <c r="C19" s="19" t="s">
        <v>24</v>
      </c>
      <c r="D19" s="19" t="s">
        <v>25</v>
      </c>
      <c r="E19" s="19" t="s">
        <v>26</v>
      </c>
      <c r="F19" s="19" t="s">
        <v>27</v>
      </c>
      <c r="G19" s="2"/>
      <c r="H19" s="2"/>
      <c r="I19" s="2"/>
      <c r="J19" s="2"/>
    </row>
    <row r="20" spans="1:10" ht="17.25" x14ac:dyDescent="0.3">
      <c r="A20" s="5">
        <v>1</v>
      </c>
      <c r="B20" s="6">
        <v>1</v>
      </c>
      <c r="C20" s="6">
        <v>200000</v>
      </c>
      <c r="D20" s="6">
        <v>14249.82</v>
      </c>
      <c r="E20" s="7">
        <v>0.22020000000000001</v>
      </c>
      <c r="F20" s="6">
        <v>1</v>
      </c>
      <c r="G20" s="2"/>
      <c r="H20" s="2"/>
      <c r="I20" s="2"/>
      <c r="J20" s="2"/>
    </row>
    <row r="21" spans="1:10" ht="17.25" x14ac:dyDescent="0.3">
      <c r="A21" s="5">
        <v>2</v>
      </c>
      <c r="B21" s="6">
        <v>200001</v>
      </c>
      <c r="C21" s="6">
        <v>650000</v>
      </c>
      <c r="D21" s="6">
        <v>58288.24</v>
      </c>
      <c r="E21" s="7">
        <v>0.2117</v>
      </c>
      <c r="F21" s="6">
        <v>200001</v>
      </c>
      <c r="G21" s="2"/>
      <c r="H21" s="2"/>
      <c r="I21" s="2"/>
      <c r="J21" s="2"/>
    </row>
    <row r="22" spans="1:10" ht="17.25" x14ac:dyDescent="0.3">
      <c r="A22" s="5">
        <v>3</v>
      </c>
      <c r="B22" s="6">
        <v>650001</v>
      </c>
      <c r="C22" s="6">
        <v>2000000</v>
      </c>
      <c r="D22" s="6">
        <v>153523.63</v>
      </c>
      <c r="E22" s="7">
        <v>0.15609999999999999</v>
      </c>
      <c r="F22" s="6">
        <v>650001</v>
      </c>
      <c r="G22" s="2"/>
      <c r="H22" s="2"/>
      <c r="I22" s="28"/>
      <c r="J22" s="2"/>
    </row>
    <row r="23" spans="1:10" ht="17.25" x14ac:dyDescent="0.3">
      <c r="A23" s="5">
        <v>4</v>
      </c>
      <c r="B23" s="6">
        <v>2000001</v>
      </c>
      <c r="C23" s="6">
        <v>4000000</v>
      </c>
      <c r="D23" s="6">
        <v>364263.1</v>
      </c>
      <c r="E23" s="7">
        <v>0.1361</v>
      </c>
      <c r="F23" s="6">
        <v>2000001</v>
      </c>
      <c r="G23" s="2"/>
      <c r="H23" s="2"/>
      <c r="I23" s="2"/>
      <c r="J23" s="2"/>
    </row>
    <row r="24" spans="1:10" ht="17.25" x14ac:dyDescent="0.3">
      <c r="A24" s="5">
        <v>5</v>
      </c>
      <c r="B24" s="6">
        <v>4000001</v>
      </c>
      <c r="C24" s="6">
        <v>6500000</v>
      </c>
      <c r="D24" s="6">
        <v>636438.06999999995</v>
      </c>
      <c r="E24" s="7">
        <v>0.13250000000000001</v>
      </c>
      <c r="F24" s="6">
        <v>4000001</v>
      </c>
      <c r="G24" s="2"/>
      <c r="H24" s="2"/>
      <c r="I24" s="2"/>
      <c r="J24" s="2"/>
    </row>
    <row r="25" spans="1:10" ht="17.25" x14ac:dyDescent="0.3">
      <c r="A25" s="5">
        <v>6</v>
      </c>
      <c r="B25" s="6">
        <v>6500001</v>
      </c>
      <c r="C25" s="6">
        <v>13000000</v>
      </c>
      <c r="D25" s="6">
        <v>967738.13</v>
      </c>
      <c r="E25" s="7">
        <v>0.11509999999999999</v>
      </c>
      <c r="F25" s="6">
        <v>6500001</v>
      </c>
      <c r="G25" s="2"/>
      <c r="H25" s="2"/>
      <c r="I25" s="2"/>
      <c r="J25" s="29"/>
    </row>
    <row r="26" spans="1:10" ht="17.25" x14ac:dyDescent="0.3">
      <c r="A26" s="5">
        <v>7</v>
      </c>
      <c r="B26" s="6">
        <v>13000001</v>
      </c>
      <c r="C26" s="6">
        <v>40000000</v>
      </c>
      <c r="D26" s="6">
        <v>1715380.21</v>
      </c>
      <c r="E26" s="7">
        <v>0.11119999999999999</v>
      </c>
      <c r="F26" s="6">
        <v>13000001</v>
      </c>
      <c r="G26" s="2"/>
      <c r="H26" s="2"/>
      <c r="I26" s="30"/>
      <c r="J26" s="31"/>
    </row>
    <row r="27" spans="1:10" ht="17.25" x14ac:dyDescent="0.3">
      <c r="A27" s="5">
        <v>8</v>
      </c>
      <c r="B27" s="6">
        <v>40000001</v>
      </c>
      <c r="C27" s="6">
        <v>130000000</v>
      </c>
      <c r="D27" s="6">
        <v>4718284</v>
      </c>
      <c r="E27" s="7">
        <v>0.11119999999999999</v>
      </c>
      <c r="F27" s="6">
        <v>40000001</v>
      </c>
      <c r="G27" s="2"/>
      <c r="H27" s="2"/>
      <c r="I27" s="2"/>
      <c r="J27" s="2"/>
    </row>
    <row r="28" spans="1:10" ht="17.25" x14ac:dyDescent="0.3">
      <c r="A28" s="5">
        <v>9</v>
      </c>
      <c r="B28" s="6">
        <v>130000001</v>
      </c>
      <c r="C28" s="6">
        <v>260000000</v>
      </c>
      <c r="D28" s="6">
        <v>14721703.949999999</v>
      </c>
      <c r="E28" s="7">
        <v>0.10390000000000001</v>
      </c>
      <c r="F28" s="6">
        <v>130000001</v>
      </c>
      <c r="G28" s="2"/>
      <c r="H28" s="2"/>
      <c r="I28" s="30"/>
      <c r="J28" s="2"/>
    </row>
    <row r="29" spans="1:10" ht="17.25" x14ac:dyDescent="0.3">
      <c r="A29" s="5">
        <v>10</v>
      </c>
      <c r="B29" s="6">
        <v>260000001</v>
      </c>
      <c r="C29" s="6">
        <v>520000000</v>
      </c>
      <c r="D29" s="6">
        <v>28238356.02</v>
      </c>
      <c r="E29" s="7">
        <v>0.1016</v>
      </c>
      <c r="F29" s="6">
        <v>260000001</v>
      </c>
      <c r="G29" s="2"/>
      <c r="H29" s="2"/>
      <c r="I29" s="2"/>
      <c r="J29" s="2"/>
    </row>
    <row r="30" spans="1:10" ht="17.25" x14ac:dyDescent="0.3">
      <c r="A30" s="5">
        <v>11</v>
      </c>
      <c r="B30" s="6">
        <v>520000001</v>
      </c>
      <c r="C30" s="6">
        <v>1040000000</v>
      </c>
      <c r="D30" s="6">
        <v>54654882.619999997</v>
      </c>
      <c r="E30" s="7">
        <v>9.9000000000000005E-2</v>
      </c>
      <c r="F30" s="6">
        <v>520000001</v>
      </c>
      <c r="G30" s="2"/>
      <c r="H30" s="2"/>
      <c r="I30" s="2"/>
      <c r="J30" s="28"/>
    </row>
    <row r="31" spans="1:10" ht="17.25" x14ac:dyDescent="0.3">
      <c r="A31" s="5">
        <v>12</v>
      </c>
      <c r="B31" s="6">
        <v>1040000001</v>
      </c>
      <c r="C31" s="8"/>
      <c r="D31" s="6">
        <v>106144722.59</v>
      </c>
      <c r="E31" s="7">
        <v>9.1600000000000001E-2</v>
      </c>
      <c r="F31" s="6">
        <v>1040000001</v>
      </c>
      <c r="G31" s="2"/>
      <c r="H31" s="2"/>
      <c r="I31" s="2"/>
      <c r="J31" s="2"/>
    </row>
    <row r="32" spans="1:10" ht="17.25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7.25" x14ac:dyDescent="0.3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7.25" x14ac:dyDescent="0.3">
      <c r="A34" s="43" t="s">
        <v>32</v>
      </c>
      <c r="B34" s="43"/>
      <c r="C34" s="43"/>
      <c r="D34" s="43"/>
      <c r="E34" s="43"/>
      <c r="F34" s="43"/>
      <c r="G34" s="2"/>
      <c r="H34" s="2"/>
      <c r="I34" s="2"/>
      <c r="J34" s="2"/>
    </row>
    <row r="35" spans="1:10" ht="17.25" x14ac:dyDescent="0.3">
      <c r="A35" s="48" t="s">
        <v>15</v>
      </c>
      <c r="B35" s="58" t="s">
        <v>16</v>
      </c>
      <c r="C35" s="59"/>
      <c r="D35" s="48" t="s">
        <v>5</v>
      </c>
      <c r="E35" s="58" t="s">
        <v>17</v>
      </c>
      <c r="F35" s="59"/>
      <c r="G35" s="2"/>
      <c r="H35" s="20" t="s">
        <v>18</v>
      </c>
      <c r="I35" s="21">
        <f>IF($B$2&gt;C39,IF($B$2&gt;C40,IF($B$2&gt;C41,IF($B$2&gt;C42,IF($B$2&gt;C43,IF($B$2&gt;C44,IF($B$2&gt;C45,IF($B$2&gt;C46,IF($B$2&gt;C47,IF($B$2&gt;C48,IF($B$2&gt;C49,D50,D49),D47),D46),D45),D44),D43),100),D42),D41),D40),D39)</f>
        <v>312886.84000000003</v>
      </c>
      <c r="J35" s="22">
        <f>VLOOKUP(I35,D39:F50,2,FALSE)</f>
        <v>0.1169</v>
      </c>
    </row>
    <row r="36" spans="1:10" ht="17.25" x14ac:dyDescent="0.3">
      <c r="A36" s="49"/>
      <c r="B36" s="60"/>
      <c r="C36" s="61"/>
      <c r="D36" s="49"/>
      <c r="E36" s="60"/>
      <c r="F36" s="61"/>
      <c r="G36" s="2"/>
      <c r="H36" s="23"/>
      <c r="I36" s="2"/>
      <c r="J36" s="24">
        <f>VLOOKUP(I35,D39:F50,3,FALSE)</f>
        <v>2000001</v>
      </c>
    </row>
    <row r="37" spans="1:10" ht="17.25" x14ac:dyDescent="0.3">
      <c r="A37" s="49"/>
      <c r="B37" s="18" t="s">
        <v>19</v>
      </c>
      <c r="C37" s="18" t="s">
        <v>20</v>
      </c>
      <c r="D37" s="50"/>
      <c r="E37" s="18" t="s">
        <v>21</v>
      </c>
      <c r="F37" s="18" t="s">
        <v>22</v>
      </c>
      <c r="G37" s="2"/>
      <c r="H37" s="25"/>
      <c r="I37" s="26"/>
      <c r="J37" s="27">
        <f>($B$2-J36)*J35</f>
        <v>144955.88310000001</v>
      </c>
    </row>
    <row r="38" spans="1:10" ht="17.25" x14ac:dyDescent="0.3">
      <c r="A38" s="50"/>
      <c r="B38" s="18" t="s">
        <v>23</v>
      </c>
      <c r="C38" s="18" t="s">
        <v>24</v>
      </c>
      <c r="D38" s="18" t="s">
        <v>25</v>
      </c>
      <c r="E38" s="18" t="s">
        <v>26</v>
      </c>
      <c r="F38" s="18" t="s">
        <v>27</v>
      </c>
      <c r="G38" s="2"/>
      <c r="H38" s="2"/>
      <c r="I38" s="2"/>
      <c r="J38" s="2"/>
    </row>
    <row r="39" spans="1:10" ht="17.25" x14ac:dyDescent="0.3">
      <c r="A39" s="9">
        <v>1</v>
      </c>
      <c r="B39" s="10">
        <v>1</v>
      </c>
      <c r="C39" s="10">
        <v>200000</v>
      </c>
      <c r="D39" s="10">
        <v>12240</v>
      </c>
      <c r="E39" s="11">
        <v>0.18909999999999999</v>
      </c>
      <c r="F39" s="10">
        <v>1</v>
      </c>
      <c r="G39" s="2"/>
      <c r="H39" s="2"/>
      <c r="I39" s="2"/>
      <c r="J39" s="2"/>
    </row>
    <row r="40" spans="1:10" ht="17.25" x14ac:dyDescent="0.3">
      <c r="A40" s="9">
        <v>2</v>
      </c>
      <c r="B40" s="10">
        <v>200001</v>
      </c>
      <c r="C40" s="10">
        <v>650000</v>
      </c>
      <c r="D40" s="10">
        <v>50067.17</v>
      </c>
      <c r="E40" s="11">
        <v>0.18179999999999999</v>
      </c>
      <c r="F40" s="10">
        <v>200001</v>
      </c>
      <c r="G40" s="2"/>
      <c r="H40" s="2"/>
      <c r="I40" s="2"/>
      <c r="J40" s="2"/>
    </row>
    <row r="41" spans="1:10" ht="17.25" x14ac:dyDescent="0.3">
      <c r="A41" s="9">
        <v>3</v>
      </c>
      <c r="B41" s="10">
        <v>650001</v>
      </c>
      <c r="C41" s="10">
        <v>2000000</v>
      </c>
      <c r="D41" s="10">
        <v>131870.39000000001</v>
      </c>
      <c r="E41" s="11">
        <v>0.1341</v>
      </c>
      <c r="F41" s="10">
        <v>650001</v>
      </c>
      <c r="G41" s="2"/>
      <c r="H41" s="2"/>
      <c r="I41" s="2"/>
      <c r="J41" s="2"/>
    </row>
    <row r="42" spans="1:10" ht="17.25" x14ac:dyDescent="0.3">
      <c r="A42" s="9">
        <v>4</v>
      </c>
      <c r="B42" s="10">
        <v>2000001</v>
      </c>
      <c r="C42" s="10">
        <v>4000000</v>
      </c>
      <c r="D42" s="10">
        <v>312886.84000000003</v>
      </c>
      <c r="E42" s="11">
        <v>0.1169</v>
      </c>
      <c r="F42" s="10">
        <v>2000001</v>
      </c>
      <c r="G42" s="2"/>
      <c r="H42" s="2"/>
      <c r="I42" s="2"/>
      <c r="J42" s="2"/>
    </row>
    <row r="43" spans="1:10" ht="17.25" x14ac:dyDescent="0.3">
      <c r="A43" s="9">
        <v>5</v>
      </c>
      <c r="B43" s="10">
        <v>4000001</v>
      </c>
      <c r="C43" s="10">
        <v>6500000</v>
      </c>
      <c r="D43" s="10">
        <v>546673.78</v>
      </c>
      <c r="E43" s="11">
        <v>0.1138</v>
      </c>
      <c r="F43" s="10">
        <v>4000001</v>
      </c>
      <c r="G43" s="2"/>
      <c r="H43" s="2"/>
      <c r="I43" s="28"/>
      <c r="J43" s="32"/>
    </row>
    <row r="44" spans="1:10" ht="17.25" x14ac:dyDescent="0.3">
      <c r="A44" s="9">
        <v>6</v>
      </c>
      <c r="B44" s="10">
        <v>6500001</v>
      </c>
      <c r="C44" s="10">
        <v>13000000</v>
      </c>
      <c r="D44" s="10">
        <v>831246.74</v>
      </c>
      <c r="E44" s="11">
        <v>9.8799999999999999E-2</v>
      </c>
      <c r="F44" s="10">
        <v>6500001</v>
      </c>
      <c r="G44" s="2"/>
      <c r="H44" s="2"/>
      <c r="I44" s="2"/>
      <c r="J44" s="2"/>
    </row>
    <row r="45" spans="1:10" ht="17.25" x14ac:dyDescent="0.3">
      <c r="A45" s="9">
        <v>7</v>
      </c>
      <c r="B45" s="10">
        <v>13000001</v>
      </c>
      <c r="C45" s="10">
        <v>40000000</v>
      </c>
      <c r="D45" s="10">
        <v>1473440.14</v>
      </c>
      <c r="E45" s="11">
        <v>9.5600000000000004E-2</v>
      </c>
      <c r="F45" s="10">
        <v>13000001</v>
      </c>
      <c r="G45" s="2"/>
      <c r="H45" s="2"/>
      <c r="I45" s="2"/>
      <c r="J45" s="28"/>
    </row>
    <row r="46" spans="1:10" ht="17.25" x14ac:dyDescent="0.3">
      <c r="A46" s="9">
        <v>8</v>
      </c>
      <c r="B46" s="10">
        <v>40000001</v>
      </c>
      <c r="C46" s="10">
        <v>130000000</v>
      </c>
      <c r="D46" s="10">
        <v>4052809.42</v>
      </c>
      <c r="E46" s="11">
        <v>9.5500000000000002E-2</v>
      </c>
      <c r="F46" s="10">
        <v>40000001</v>
      </c>
      <c r="G46" s="2"/>
      <c r="H46" s="2"/>
      <c r="I46" s="2"/>
      <c r="J46" s="2"/>
    </row>
    <row r="47" spans="1:10" ht="17.25" x14ac:dyDescent="0.3">
      <c r="A47" s="9">
        <v>9</v>
      </c>
      <c r="B47" s="10">
        <v>130000001</v>
      </c>
      <c r="C47" s="10">
        <v>260000000</v>
      </c>
      <c r="D47" s="10">
        <v>12645330.470000001</v>
      </c>
      <c r="E47" s="11">
        <v>8.9399999999999993E-2</v>
      </c>
      <c r="F47" s="10">
        <v>130000001</v>
      </c>
      <c r="G47" s="2"/>
      <c r="H47" s="2"/>
      <c r="I47" s="28"/>
      <c r="J47" s="28"/>
    </row>
    <row r="48" spans="1:10" ht="17.25" x14ac:dyDescent="0.3">
      <c r="A48" s="9">
        <v>10</v>
      </c>
      <c r="B48" s="10">
        <v>260000001</v>
      </c>
      <c r="C48" s="10">
        <v>520000000</v>
      </c>
      <c r="D48" s="10">
        <v>24255571.57</v>
      </c>
      <c r="E48" s="11">
        <v>8.7300000000000003E-2</v>
      </c>
      <c r="F48" s="10">
        <v>260000001</v>
      </c>
      <c r="G48" s="2"/>
      <c r="H48" s="2"/>
      <c r="I48" s="2"/>
      <c r="J48" s="2"/>
    </row>
    <row r="49" spans="1:10" ht="17.25" x14ac:dyDescent="0.3">
      <c r="A49" s="9">
        <v>11</v>
      </c>
      <c r="B49" s="10">
        <v>520000001</v>
      </c>
      <c r="C49" s="10">
        <v>1040000000</v>
      </c>
      <c r="D49" s="10">
        <v>46946267.549999997</v>
      </c>
      <c r="E49" s="11">
        <v>8.5099999999999995E-2</v>
      </c>
      <c r="F49" s="10">
        <v>520000001</v>
      </c>
      <c r="G49" s="2"/>
      <c r="H49" s="2"/>
      <c r="I49" s="2"/>
      <c r="J49" s="2"/>
    </row>
    <row r="50" spans="1:10" ht="17.25" x14ac:dyDescent="0.3">
      <c r="A50" s="9">
        <v>12</v>
      </c>
      <c r="B50" s="10">
        <v>1040000001</v>
      </c>
      <c r="C50" s="12"/>
      <c r="D50" s="10">
        <v>91173895.319999993</v>
      </c>
      <c r="E50" s="11">
        <v>7.8600000000000003E-2</v>
      </c>
      <c r="F50" s="10">
        <v>1040000001</v>
      </c>
      <c r="G50" s="2"/>
      <c r="H50" s="2"/>
      <c r="I50" s="2"/>
      <c r="J50" s="2"/>
    </row>
    <row r="51" spans="1:10" ht="17.25" x14ac:dyDescent="0.3">
      <c r="A51" s="44"/>
      <c r="B51" s="45"/>
      <c r="C51" s="46"/>
      <c r="D51" s="45"/>
      <c r="E51" s="47"/>
      <c r="F51" s="45"/>
      <c r="G51" s="2"/>
      <c r="H51" s="2"/>
      <c r="I51" s="2"/>
      <c r="J51" s="29"/>
    </row>
    <row r="52" spans="1:10" ht="17.25" x14ac:dyDescent="0.3">
      <c r="A52" s="2"/>
      <c r="B52" s="2"/>
      <c r="C52" s="2"/>
      <c r="D52" s="2"/>
      <c r="E52" s="2"/>
      <c r="F52" s="2"/>
      <c r="G52" s="2"/>
      <c r="H52" s="2"/>
      <c r="I52" s="30"/>
      <c r="J52" s="31"/>
    </row>
    <row r="53" spans="1:10" ht="17.25" x14ac:dyDescent="0.3">
      <c r="A53" s="43" t="s">
        <v>33</v>
      </c>
      <c r="B53" s="43"/>
      <c r="C53" s="43"/>
      <c r="D53" s="43"/>
      <c r="E53" s="43"/>
      <c r="F53" s="43"/>
      <c r="G53" s="2"/>
      <c r="H53" s="2"/>
      <c r="I53" s="2"/>
      <c r="J53" s="2"/>
    </row>
    <row r="54" spans="1:10" ht="17.25" x14ac:dyDescent="0.3">
      <c r="A54" s="51" t="s">
        <v>15</v>
      </c>
      <c r="B54" s="62" t="s">
        <v>16</v>
      </c>
      <c r="C54" s="63"/>
      <c r="D54" s="51" t="s">
        <v>5</v>
      </c>
      <c r="E54" s="62" t="s">
        <v>17</v>
      </c>
      <c r="F54" s="63"/>
      <c r="G54" s="2"/>
      <c r="H54" s="20" t="s">
        <v>18</v>
      </c>
      <c r="I54" s="21">
        <f>IF($B$2&gt;C58,IF($B$2&gt;C59,IF($B$2&gt;C60,IF($B$2&gt;C61,IF($B$2&gt;C62,IF($B$2&gt;C63,IF($B$2&gt;C64,IF($B$2&gt;C65,IF($B$2&gt;C66,IF($B$2&gt;C67,IF($B$2&gt;C68,D69,D68),D66),D65),D64),D63),D62),100),D61),D60),D59),D58)</f>
        <v>261510.57</v>
      </c>
      <c r="J54" s="22">
        <f>VLOOKUP(I54,D58:F69,2,FALSE)</f>
        <v>9.7699999999999995E-2</v>
      </c>
    </row>
    <row r="55" spans="1:10" ht="17.25" x14ac:dyDescent="0.3">
      <c r="A55" s="52"/>
      <c r="B55" s="64"/>
      <c r="C55" s="65"/>
      <c r="D55" s="52"/>
      <c r="E55" s="64"/>
      <c r="F55" s="65"/>
      <c r="G55" s="2"/>
      <c r="H55" s="23"/>
      <c r="I55" s="2"/>
      <c r="J55" s="24">
        <f>VLOOKUP(I54,D58:F69,3,FALSE)</f>
        <v>2000001</v>
      </c>
    </row>
    <row r="56" spans="1:10" ht="17.25" x14ac:dyDescent="0.3">
      <c r="A56" s="52"/>
      <c r="B56" s="17" t="s">
        <v>19</v>
      </c>
      <c r="C56" s="17" t="s">
        <v>20</v>
      </c>
      <c r="D56" s="53"/>
      <c r="E56" s="17" t="s">
        <v>21</v>
      </c>
      <c r="F56" s="17" t="s">
        <v>22</v>
      </c>
      <c r="G56" s="2"/>
      <c r="H56" s="25"/>
      <c r="I56" s="26"/>
      <c r="J56" s="27">
        <f>($B$2-J55)*J54</f>
        <v>121147.90229999999</v>
      </c>
    </row>
    <row r="57" spans="1:10" ht="17.25" x14ac:dyDescent="0.3">
      <c r="A57" s="53"/>
      <c r="B57" s="17" t="s">
        <v>23</v>
      </c>
      <c r="C57" s="17" t="s">
        <v>24</v>
      </c>
      <c r="D57" s="17" t="s">
        <v>25</v>
      </c>
      <c r="E57" s="17" t="s">
        <v>26</v>
      </c>
      <c r="F57" s="17" t="s">
        <v>27</v>
      </c>
      <c r="G57" s="2"/>
      <c r="H57" s="2"/>
      <c r="I57" s="2"/>
      <c r="J57" s="2"/>
    </row>
    <row r="58" spans="1:10" ht="17.25" x14ac:dyDescent="0.3">
      <c r="A58" s="13">
        <v>1</v>
      </c>
      <c r="B58" s="14">
        <v>1</v>
      </c>
      <c r="C58" s="14">
        <v>200000</v>
      </c>
      <c r="D58" s="14">
        <v>10230.18</v>
      </c>
      <c r="E58" s="15">
        <v>0.15809999999999999</v>
      </c>
      <c r="F58" s="14">
        <v>1</v>
      </c>
      <c r="G58" s="2"/>
      <c r="H58" s="2"/>
      <c r="I58" s="2"/>
      <c r="J58" s="2"/>
    </row>
    <row r="59" spans="1:10" ht="17.25" x14ac:dyDescent="0.3">
      <c r="A59" s="13">
        <v>2</v>
      </c>
      <c r="B59" s="14">
        <v>200001</v>
      </c>
      <c r="C59" s="14">
        <v>650000</v>
      </c>
      <c r="D59" s="14">
        <v>41846.1</v>
      </c>
      <c r="E59" s="15">
        <v>0.152</v>
      </c>
      <c r="F59" s="14">
        <v>200001</v>
      </c>
      <c r="G59" s="2"/>
      <c r="H59" s="2"/>
      <c r="I59" s="2"/>
      <c r="J59" s="2"/>
    </row>
    <row r="60" spans="1:10" ht="17.25" x14ac:dyDescent="0.3">
      <c r="A60" s="13">
        <v>3</v>
      </c>
      <c r="B60" s="14">
        <v>650001</v>
      </c>
      <c r="C60" s="14">
        <v>2000000</v>
      </c>
      <c r="D60" s="14">
        <v>110217.17</v>
      </c>
      <c r="E60" s="15">
        <v>0.11210000000000001</v>
      </c>
      <c r="F60" s="14">
        <v>650001</v>
      </c>
      <c r="G60" s="2"/>
      <c r="H60" s="2"/>
      <c r="I60" s="2"/>
      <c r="J60" s="2"/>
    </row>
    <row r="61" spans="1:10" ht="17.25" x14ac:dyDescent="0.3">
      <c r="A61" s="13">
        <v>4</v>
      </c>
      <c r="B61" s="14">
        <v>2000001</v>
      </c>
      <c r="C61" s="14">
        <v>4000000</v>
      </c>
      <c r="D61" s="14">
        <v>261510.57</v>
      </c>
      <c r="E61" s="15">
        <v>9.7699999999999995E-2</v>
      </c>
      <c r="F61" s="14">
        <v>2000001</v>
      </c>
      <c r="G61" s="2"/>
      <c r="H61" s="2"/>
      <c r="I61" s="2"/>
      <c r="J61" s="2"/>
    </row>
    <row r="62" spans="1:10" ht="17.25" x14ac:dyDescent="0.3">
      <c r="A62" s="13">
        <v>5</v>
      </c>
      <c r="B62" s="14">
        <v>4000001</v>
      </c>
      <c r="C62" s="14">
        <v>6500000</v>
      </c>
      <c r="D62" s="14">
        <v>456909.51</v>
      </c>
      <c r="E62" s="15">
        <v>9.5200000000000007E-2</v>
      </c>
      <c r="F62" s="14">
        <v>4000001</v>
      </c>
      <c r="G62" s="2"/>
      <c r="H62" s="2"/>
      <c r="I62" s="2"/>
      <c r="J62" s="2"/>
    </row>
    <row r="63" spans="1:10" ht="17.25" x14ac:dyDescent="0.3">
      <c r="A63" s="13">
        <v>6</v>
      </c>
      <c r="B63" s="14">
        <v>6500001</v>
      </c>
      <c r="C63" s="14">
        <v>13000000</v>
      </c>
      <c r="D63" s="14">
        <v>694755.35</v>
      </c>
      <c r="E63" s="15">
        <v>8.2600000000000007E-2</v>
      </c>
      <c r="F63" s="14">
        <v>6500001</v>
      </c>
      <c r="G63" s="2"/>
      <c r="H63" s="2"/>
      <c r="I63" s="2"/>
      <c r="J63" s="2"/>
    </row>
    <row r="64" spans="1:10" ht="17.25" x14ac:dyDescent="0.3">
      <c r="A64" s="13">
        <v>7</v>
      </c>
      <c r="B64" s="14">
        <v>13000001</v>
      </c>
      <c r="C64" s="14">
        <v>40000000</v>
      </c>
      <c r="D64" s="14">
        <v>1231500.08</v>
      </c>
      <c r="E64" s="15">
        <v>7.9899999999999999E-2</v>
      </c>
      <c r="F64" s="14">
        <v>13000001</v>
      </c>
      <c r="G64" s="2"/>
      <c r="H64" s="2"/>
      <c r="I64" s="2"/>
      <c r="J64" s="2"/>
    </row>
    <row r="65" spans="1:10" ht="17.25" x14ac:dyDescent="0.3">
      <c r="A65" s="13">
        <v>8</v>
      </c>
      <c r="B65" s="14">
        <v>40000001</v>
      </c>
      <c r="C65" s="14">
        <v>130000000</v>
      </c>
      <c r="D65" s="14">
        <v>3387334.84</v>
      </c>
      <c r="E65" s="15">
        <v>7.9799999999999996E-2</v>
      </c>
      <c r="F65" s="14">
        <v>40000001</v>
      </c>
      <c r="G65" s="2"/>
      <c r="H65" s="2"/>
      <c r="I65" s="2"/>
      <c r="J65" s="2"/>
    </row>
    <row r="66" spans="1:10" ht="17.25" x14ac:dyDescent="0.3">
      <c r="A66" s="13">
        <v>9</v>
      </c>
      <c r="B66" s="14">
        <v>130000001</v>
      </c>
      <c r="C66" s="14">
        <v>260000000</v>
      </c>
      <c r="D66" s="14">
        <v>10568956.99</v>
      </c>
      <c r="E66" s="15">
        <v>7.4700000000000003E-2</v>
      </c>
      <c r="F66" s="14">
        <v>130000001</v>
      </c>
      <c r="G66" s="2"/>
      <c r="H66" s="2"/>
      <c r="I66" s="2"/>
      <c r="J66" s="2"/>
    </row>
    <row r="67" spans="1:10" ht="17.25" x14ac:dyDescent="0.3">
      <c r="A67" s="13">
        <v>10</v>
      </c>
      <c r="B67" s="14">
        <v>260000001</v>
      </c>
      <c r="C67" s="14">
        <v>520000000</v>
      </c>
      <c r="D67" s="14">
        <v>20272787.120000001</v>
      </c>
      <c r="E67" s="15">
        <v>7.2900000000000006E-2</v>
      </c>
      <c r="F67" s="14">
        <v>260000001</v>
      </c>
      <c r="G67" s="2"/>
      <c r="H67" s="2"/>
      <c r="I67" s="2"/>
      <c r="J67" s="2"/>
    </row>
    <row r="68" spans="1:10" ht="17.25" x14ac:dyDescent="0.3">
      <c r="A68" s="13">
        <v>11</v>
      </c>
      <c r="B68" s="14">
        <v>520000001</v>
      </c>
      <c r="C68" s="14">
        <v>1040000000</v>
      </c>
      <c r="D68" s="14">
        <v>39237652.490000002</v>
      </c>
      <c r="E68" s="15">
        <v>7.1099999999999997E-2</v>
      </c>
      <c r="F68" s="14">
        <v>520000001</v>
      </c>
      <c r="G68" s="2"/>
      <c r="H68" s="2"/>
      <c r="I68" s="2"/>
      <c r="J68" s="2"/>
    </row>
    <row r="69" spans="1:10" ht="17.25" x14ac:dyDescent="0.3">
      <c r="A69" s="13">
        <v>12</v>
      </c>
      <c r="B69" s="14">
        <v>1040000001</v>
      </c>
      <c r="C69" s="16"/>
      <c r="D69" s="14">
        <v>76203068.030000001</v>
      </c>
      <c r="E69" s="15">
        <v>6.5699999999999995E-2</v>
      </c>
      <c r="F69" s="14">
        <v>1040000001</v>
      </c>
      <c r="G69" s="2"/>
      <c r="H69" s="2"/>
      <c r="I69" s="2"/>
      <c r="J69" s="2"/>
    </row>
  </sheetData>
  <mergeCells count="14">
    <mergeCell ref="A6:B6"/>
    <mergeCell ref="A15:F15"/>
    <mergeCell ref="E16:F17"/>
    <mergeCell ref="E35:F36"/>
    <mergeCell ref="B35:C36"/>
    <mergeCell ref="E54:F55"/>
    <mergeCell ref="B54:C55"/>
    <mergeCell ref="D16:D18"/>
    <mergeCell ref="A35:A38"/>
    <mergeCell ref="A54:A57"/>
    <mergeCell ref="D35:D37"/>
    <mergeCell ref="D54:D56"/>
    <mergeCell ref="B16:C17"/>
    <mergeCell ref="A16:A19"/>
  </mergeCells>
  <dataValidations disablePrompts="1" count="1">
    <dataValidation type="list" allowBlank="1" showInputMessage="1" showErrorMessage="1" sqref="B3" xr:uid="{B51F7383-3686-45E5-B056-88C6DDC4D8D2}">
      <formula1>"Low,Medium,High"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Fees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2023-09-15T07:38:45Z</dcterms:created>
  <dcterms:modified xsi:type="dcterms:W3CDTF">2023-09-18T14:48:57Z</dcterms:modified>
</cp:coreProperties>
</file>