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- G Squared\Spekboom Development_Humansdorp\"/>
    </mc:Choice>
  </mc:AlternateContent>
  <xr:revisionPtr revIDLastSave="0" documentId="13_ncr:1_{004155E3-E921-4FB2-B69B-55D9486D0887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Employees" sheetId="1" r:id="rId1"/>
    <sheet name="20230914_Fees" sheetId="5" r:id="rId2"/>
    <sheet name="Fees" sheetId="2" r:id="rId3"/>
    <sheet name="Sheet1" sheetId="4" r:id="rId4"/>
    <sheet name="Data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5" l="1"/>
  <c r="B43" i="5"/>
  <c r="B40" i="5"/>
  <c r="D44" i="5" s="1"/>
  <c r="B36" i="5"/>
  <c r="E35" i="5"/>
  <c r="E34" i="5"/>
  <c r="E31" i="5"/>
  <c r="E27" i="5"/>
  <c r="E26" i="5"/>
  <c r="E25" i="5"/>
  <c r="E33" i="5" s="1"/>
  <c r="E24" i="5"/>
  <c r="E32" i="5" s="1"/>
  <c r="E23" i="5"/>
  <c r="D18" i="5"/>
  <c r="E18" i="5" s="1"/>
  <c r="B18" i="5"/>
  <c r="D17" i="5"/>
  <c r="B17" i="5"/>
  <c r="E17" i="5" s="1"/>
  <c r="E19" i="5" s="1"/>
  <c r="B14" i="5"/>
  <c r="B10" i="5"/>
  <c r="E9" i="5"/>
  <c r="E4" i="5"/>
  <c r="E3" i="5"/>
  <c r="E8" i="5" s="1"/>
  <c r="E10" i="5" s="1"/>
  <c r="H17" i="2"/>
  <c r="E37" i="2"/>
  <c r="D11" i="4"/>
  <c r="D5" i="4"/>
  <c r="D21" i="4"/>
  <c r="D20" i="4"/>
  <c r="D28" i="4"/>
  <c r="D27" i="4"/>
  <c r="K63" i="3"/>
  <c r="L64" i="3" s="1"/>
  <c r="K44" i="3"/>
  <c r="L45" i="3" s="1"/>
  <c r="K25" i="3"/>
  <c r="L26" i="3" s="1"/>
  <c r="C14" i="3"/>
  <c r="E5" i="3"/>
  <c r="P112" i="2"/>
  <c r="G112" i="2"/>
  <c r="P79" i="2"/>
  <c r="G79" i="2"/>
  <c r="G66" i="2"/>
  <c r="G36" i="2"/>
  <c r="G27" i="2"/>
  <c r="H27" i="2" s="1"/>
  <c r="E27" i="2"/>
  <c r="G26" i="2"/>
  <c r="E26" i="2"/>
  <c r="J25" i="2"/>
  <c r="J26" i="2" s="1"/>
  <c r="G25" i="2"/>
  <c r="E25" i="2"/>
  <c r="G24" i="2"/>
  <c r="J29" i="2" s="1"/>
  <c r="E24" i="2"/>
  <c r="G23" i="2"/>
  <c r="E23" i="2"/>
  <c r="G18" i="2"/>
  <c r="H18" i="2" s="1"/>
  <c r="E18" i="2"/>
  <c r="G17" i="2"/>
  <c r="E17" i="2"/>
  <c r="E19" i="2" s="1"/>
  <c r="K21" i="1"/>
  <c r="F15" i="1"/>
  <c r="G15" i="1" s="1"/>
  <c r="C21" i="1" s="1"/>
  <c r="E21" i="1" s="1"/>
  <c r="G21" i="1" s="1"/>
  <c r="H21" i="1" s="1"/>
  <c r="F14" i="1"/>
  <c r="G14" i="1" s="1"/>
  <c r="C20" i="1" s="1"/>
  <c r="E20" i="1" s="1"/>
  <c r="G20" i="1" s="1"/>
  <c r="H20" i="1" s="1"/>
  <c r="F13" i="1"/>
  <c r="G13" i="1" s="1"/>
  <c r="C19" i="1" s="1"/>
  <c r="E19" i="1" s="1"/>
  <c r="G19" i="1" s="1"/>
  <c r="E36" i="5" l="1"/>
  <c r="E44" i="5"/>
  <c r="E28" i="5"/>
  <c r="E5" i="5"/>
  <c r="D43" i="5"/>
  <c r="E43" i="5" s="1"/>
  <c r="E45" i="5" s="1"/>
  <c r="H26" i="2"/>
  <c r="H25" i="2"/>
  <c r="E28" i="2"/>
  <c r="H110" i="2" s="1"/>
  <c r="H112" i="2" s="1"/>
  <c r="E114" i="2" s="1"/>
  <c r="C15" i="3"/>
  <c r="C16" i="3" s="1"/>
  <c r="C18" i="3" s="1"/>
  <c r="D15" i="4"/>
  <c r="D22" i="4"/>
  <c r="D29" i="4"/>
  <c r="F5" i="3"/>
  <c r="G5" i="3" s="1"/>
  <c r="H5" i="3" s="1"/>
  <c r="H19" i="1"/>
  <c r="H75" i="2"/>
  <c r="H79" i="2" s="1"/>
  <c r="E81" i="2" s="1"/>
  <c r="A22" i="2"/>
  <c r="H24" i="2"/>
  <c r="A16" i="2"/>
  <c r="H19" i="2"/>
  <c r="E119" i="2"/>
  <c r="H23" i="2"/>
  <c r="L25" i="3"/>
  <c r="L27" i="3" s="1"/>
  <c r="L44" i="3"/>
  <c r="L46" i="3" s="1"/>
  <c r="L63" i="3"/>
  <c r="L65" i="3" s="1"/>
  <c r="E30" i="2" l="1"/>
  <c r="Q12" i="3"/>
  <c r="Q9" i="3"/>
  <c r="Q11" i="3"/>
  <c r="Q10" i="3"/>
  <c r="Q14" i="3" s="1"/>
  <c r="C29" i="4"/>
  <c r="C22" i="4"/>
  <c r="W11" i="3"/>
  <c r="S11" i="3"/>
  <c r="S9" i="3"/>
  <c r="W9" i="3"/>
  <c r="W12" i="3"/>
  <c r="S12" i="3" s="1"/>
  <c r="E120" i="2"/>
  <c r="E121" i="2" s="1"/>
  <c r="E123" i="2" s="1"/>
  <c r="H28" i="2"/>
  <c r="Q110" i="2" s="1"/>
  <c r="Q112" i="2" s="1"/>
  <c r="N114" i="2" s="1"/>
  <c r="Q75" i="2"/>
  <c r="Q79" i="2" s="1"/>
  <c r="N81" i="2" s="1"/>
  <c r="E86" i="2"/>
  <c r="W10" i="3" l="1"/>
  <c r="S10" i="3" s="1"/>
  <c r="S15" i="3" s="1"/>
  <c r="F129" i="2"/>
  <c r="H129" i="2" s="1"/>
  <c r="F128" i="2"/>
  <c r="H128" i="2" s="1"/>
  <c r="F127" i="2"/>
  <c r="H127" i="2" s="1"/>
  <c r="B61" i="2" s="1"/>
  <c r="F126" i="2"/>
  <c r="H30" i="2"/>
  <c r="E87" i="2"/>
  <c r="E88" i="2" s="1"/>
  <c r="E90" i="2" s="1"/>
  <c r="N119" i="2"/>
  <c r="N120" i="2" s="1"/>
  <c r="A49" i="2"/>
  <c r="N86" i="2"/>
  <c r="F96" i="2" l="1"/>
  <c r="H96" i="2" s="1"/>
  <c r="F95" i="2"/>
  <c r="H95" i="2" s="1"/>
  <c r="F94" i="2"/>
  <c r="H94" i="2" s="1"/>
  <c r="B56" i="2" s="1"/>
  <c r="F93" i="2"/>
  <c r="H132" i="2"/>
  <c r="H126" i="2"/>
  <c r="B60" i="2" s="1"/>
  <c r="N87" i="2"/>
  <c r="N88" i="2" s="1"/>
  <c r="N90" i="2" s="1"/>
  <c r="N121" i="2"/>
  <c r="N123" i="2" s="1"/>
  <c r="O96" i="2" l="1"/>
  <c r="Q96" i="2" s="1"/>
  <c r="O95" i="2"/>
  <c r="Q95" i="2" s="1"/>
  <c r="O94" i="2"/>
  <c r="Q94" i="2" s="1"/>
  <c r="C56" i="2" s="1"/>
  <c r="D56" i="2" s="1"/>
  <c r="O93" i="2"/>
  <c r="H93" i="2"/>
  <c r="B55" i="2" s="1"/>
  <c r="H99" i="2"/>
  <c r="O129" i="2"/>
  <c r="Q129" i="2" s="1"/>
  <c r="O128" i="2"/>
  <c r="Q128" i="2" s="1"/>
  <c r="O127" i="2"/>
  <c r="Q127" i="2" s="1"/>
  <c r="C61" i="2" s="1"/>
  <c r="D61" i="2" s="1"/>
  <c r="O126" i="2"/>
  <c r="H131" i="2"/>
  <c r="H134" i="2" s="1"/>
  <c r="A43" i="2" s="1"/>
  <c r="D65" i="2" l="1"/>
  <c r="Q99" i="2"/>
  <c r="Q93" i="2"/>
  <c r="C55" i="2" s="1"/>
  <c r="D55" i="2" s="1"/>
  <c r="D64" i="2" s="1"/>
  <c r="Q132" i="2"/>
  <c r="Q126" i="2"/>
  <c r="C60" i="2" s="1"/>
  <c r="D60" i="2" s="1"/>
  <c r="H98" i="2"/>
  <c r="H101" i="2" s="1"/>
  <c r="A37" i="2" s="1"/>
  <c r="D66" i="2" l="1"/>
  <c r="Q131" i="2"/>
  <c r="Q134" i="2" s="1"/>
  <c r="B43" i="2" s="1"/>
  <c r="C43" i="2" s="1"/>
  <c r="E43" i="2" s="1"/>
  <c r="G43" i="2" s="1"/>
  <c r="Q98" i="2"/>
  <c r="Q101" i="2" s="1"/>
  <c r="B37" i="2" s="1"/>
  <c r="C37" i="2" s="1"/>
  <c r="G37" i="2" s="1"/>
  <c r="G49" i="2" s="1"/>
  <c r="E49" i="2" s="1"/>
  <c r="H64" i="2"/>
  <c r="H65" i="2"/>
  <c r="H63" i="2"/>
  <c r="C49" i="2" l="1"/>
  <c r="E66" i="2"/>
  <c r="H66" i="2"/>
  <c r="F54" i="2" l="1"/>
</calcChain>
</file>

<file path=xl/sharedStrings.xml><?xml version="1.0" encoding="utf-8"?>
<sst xmlns="http://schemas.openxmlformats.org/spreadsheetml/2006/main" count="425" uniqueCount="157">
  <si>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</si>
  <si>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</si>
  <si>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</si>
  <si>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</si>
  <si>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</si>
  <si>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</si>
  <si>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</si>
  <si>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rgb="FF000000"/>
        <rFont val="Century Gothic"/>
      </rPr>
      <t>SALARIES</t>
    </r>
    <r>
      <rPr>
        <b/>
        <sz val="16"/>
        <color rgb="FF000000"/>
        <rFont val="Century Gothic"/>
      </rPr>
      <t>:</t>
    </r>
  </si>
  <si>
    <r>
      <t xml:space="preserve">EMPLOYEE </t>
    </r>
    <r>
      <rPr>
        <sz val="16"/>
        <color rgb="FF000000"/>
        <rFont val="Century Gothic"/>
      </rPr>
      <t>HOURLY RATES</t>
    </r>
    <r>
      <rPr>
        <b/>
        <sz val="16"/>
        <color rgb="FF000000"/>
        <rFont val="Century Gothic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</si>
  <si>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</si>
  <si>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</si>
  <si>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</si>
  <si>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</si>
  <si>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</si>
  <si>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</si>
  <si>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</si>
  <si>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</si>
  <si>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</si>
  <si>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</si>
  <si>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</si>
  <si>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</si>
  <si>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</si>
  <si>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</si>
  <si>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</si>
  <si>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</si>
  <si>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</si>
  <si>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</si>
  <si>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</si>
  <si>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</si>
  <si>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</si>
  <si>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</si>
  <si>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</si>
  <si>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</si>
  <si>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</si>
  <si>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</si>
  <si>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</si>
  <si>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</si>
  <si>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</si>
  <si>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</si>
  <si>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</si>
  <si>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</si>
  <si>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</si>
  <si>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</si>
  <si>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</si>
  <si>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</si>
  <si>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</si>
  <si>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</si>
  <si>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</si>
  <si>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</si>
  <si>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</si>
  <si>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</si>
  <si>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</si>
  <si>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</si>
  <si>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</si>
  <si>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</si>
  <si>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</si>
  <si>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</si>
  <si>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</si>
  <si>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</si>
  <si>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</rPr>
      <t>MEDIUM COMPLEXITY</t>
    </r>
  </si>
  <si>
    <t>Hrly Rate</t>
  </si>
  <si>
    <t>Estimated Build Cost: (For Cost Based Fees)</t>
  </si>
  <si>
    <t>Discount</t>
  </si>
  <si>
    <t>m² Rate</t>
  </si>
  <si>
    <t>Company Fees</t>
  </si>
  <si>
    <t>Per Day Rate + Business Fees</t>
  </si>
  <si>
    <t>Hours out of office</t>
  </si>
  <si>
    <t>Dewald</t>
  </si>
  <si>
    <t>Complexity</t>
  </si>
  <si>
    <t>(Project cost - E) * D</t>
  </si>
  <si>
    <t>(Project - E) * D</t>
  </si>
  <si>
    <t>Est. Build cost</t>
  </si>
  <si>
    <t>Nr.</t>
  </si>
  <si>
    <t>Per/Hr</t>
  </si>
  <si>
    <t>Discount overall</t>
  </si>
  <si>
    <t>Hannes</t>
  </si>
  <si>
    <t>Tech</t>
  </si>
  <si>
    <t>Johan Hugo</t>
  </si>
  <si>
    <t>basic tech drawings only</t>
  </si>
  <si>
    <t>Snr. Tech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</si>
  <si>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</si>
  <si>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</si>
  <si>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</si>
  <si>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</si>
  <si>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</si>
  <si>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</si>
  <si>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</rPr>
      <t>LOW COMPLEXITY</t>
    </r>
  </si>
  <si>
    <t>Low</t>
  </si>
  <si>
    <t>Secondary Fee:</t>
  </si>
  <si>
    <t xml:space="preserve">Total incl. Discount (ex.VAT) </t>
  </si>
  <si>
    <t>Gross Salary</t>
  </si>
  <si>
    <t>Final Fees (ex VAT)</t>
  </si>
  <si>
    <t>Fee (ex VAT)</t>
  </si>
  <si>
    <t>QTY</t>
  </si>
  <si>
    <t>m² PER UNIT</t>
  </si>
  <si>
    <t>Unit Price:</t>
  </si>
  <si>
    <t>VILLAS:</t>
  </si>
  <si>
    <t>Type A</t>
  </si>
  <si>
    <t>2x Bedroom</t>
  </si>
  <si>
    <t>Type B</t>
  </si>
  <si>
    <t>3x Bedroom</t>
  </si>
  <si>
    <t>COURT:</t>
  </si>
  <si>
    <t>1x Bedroom, 4x per floor.</t>
  </si>
  <si>
    <t>Type B.1</t>
  </si>
  <si>
    <t>2x Bedroom, 2x per floor</t>
  </si>
  <si>
    <t>Type B.2</t>
  </si>
  <si>
    <t>Type C.1</t>
  </si>
  <si>
    <t>Type C.2</t>
  </si>
  <si>
    <t>Build Rate</t>
  </si>
  <si>
    <t>Total Build:</t>
  </si>
  <si>
    <t>Fees Total</t>
  </si>
  <si>
    <t>Percentage</t>
  </si>
  <si>
    <t>Villas</t>
  </si>
  <si>
    <t>Court</t>
  </si>
  <si>
    <t>All Unit Price:</t>
  </si>
  <si>
    <t>Description</t>
  </si>
  <si>
    <t>VILLAS:  Single unit</t>
  </si>
  <si>
    <t>35% Repetitive Fees</t>
  </si>
  <si>
    <t>Remainder Units</t>
  </si>
  <si>
    <t>Single Unit</t>
  </si>
  <si>
    <t>TOTAL FEES:</t>
  </si>
  <si>
    <t>COURT - Total Remainder Units</t>
  </si>
  <si>
    <t>COURT - Single Units</t>
  </si>
  <si>
    <t>VILLAS - Single Units</t>
  </si>
  <si>
    <t>VILLAS - Total Remainder Units</t>
  </si>
  <si>
    <t>Total Project Value</t>
  </si>
  <si>
    <t>STAGE 1-4 (Per Unit)</t>
  </si>
  <si>
    <t>Stage 1-3</t>
  </si>
  <si>
    <t>per Unit</t>
  </si>
  <si>
    <t>All Units</t>
  </si>
  <si>
    <t>Blackhound Fees</t>
  </si>
  <si>
    <t>Design (Changes 3D's)</t>
  </si>
  <si>
    <t>Municipal (SDP)</t>
  </si>
  <si>
    <t>Stages</t>
  </si>
  <si>
    <t>Current Design = 112 Units</t>
  </si>
  <si>
    <t>Required = 23 Units</t>
  </si>
  <si>
    <t>Total Fees:</t>
  </si>
  <si>
    <t>G Squared</t>
  </si>
  <si>
    <t>Municipal</t>
  </si>
  <si>
    <t>Total Fees: (Court)</t>
  </si>
  <si>
    <t>Grand Total Fees:</t>
  </si>
  <si>
    <t>Excl. VAT</t>
  </si>
  <si>
    <t>Current Design = 58 Units</t>
  </si>
  <si>
    <t>VILLAS</t>
  </si>
  <si>
    <t>1 Unit per Type</t>
  </si>
  <si>
    <t>Repetitive Units</t>
  </si>
  <si>
    <t>SACAP ARCHITECTURAL FEES (based on Total Build)</t>
  </si>
  <si>
    <t>Stages/Fee Breakdown</t>
  </si>
  <si>
    <t>Stage 1-3 (Design)</t>
  </si>
  <si>
    <t>Stage 4.1 (Municipal)</t>
  </si>
  <si>
    <t>Total Fees: (excl. VAT)</t>
  </si>
  <si>
    <t>COURT</t>
  </si>
  <si>
    <t>Total Fees: ( Excl. VAT)</t>
  </si>
  <si>
    <t>R596 090.42</t>
  </si>
  <si>
    <t>R1 028 781.05</t>
  </si>
  <si>
    <t>Total Architectural Fees:</t>
  </si>
  <si>
    <t>R1 624 871.47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</si>
</sst>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0.000%"/>
    <numFmt numFmtId="167" formatCode="0.0%"/>
    <numFmt numFmtId="168" formatCode="[$R-1C09]\ #,##0"/>
    <numFmt numFmtId="169" formatCode="[$R-1C09]#,##0.00"/>
  </numFmts>
  <fonts count="34">
    <font>
      <sz val="11"/>
      <name val="Calibri"/>
    </font>
    <font>
      <sz val="12"/>
      <color rgb="FF000000"/>
      <name val="Century Gothic"/>
    </font>
    <font>
      <b/>
      <sz val="16"/>
      <color rgb="FF000000"/>
      <name val="Century Gothic"/>
    </font>
    <font>
      <sz val="14"/>
      <color rgb="FF000000"/>
      <name val="Century Gothic"/>
    </font>
    <font>
      <sz val="11"/>
      <color rgb="FF000000"/>
      <name val="Century Gothic"/>
    </font>
    <font>
      <b/>
      <sz val="12"/>
      <color rgb="FF000000"/>
      <name val="Century Gothic"/>
    </font>
    <font>
      <b/>
      <sz val="11"/>
      <color rgb="FF000000"/>
      <name val="Century Gothic"/>
    </font>
    <font>
      <sz val="11"/>
      <color rgb="FF000000"/>
      <name val="Calibri"/>
    </font>
    <font>
      <sz val="12"/>
      <color rgb="FFFF0000"/>
      <name val="Century Gothic"/>
    </font>
    <font>
      <b/>
      <sz val="14"/>
      <name val="Century Gothic"/>
    </font>
    <font>
      <b/>
      <sz val="15"/>
      <color rgb="FF000000"/>
      <name val="Calibri"/>
    </font>
    <font>
      <b/>
      <i/>
      <sz val="11"/>
      <color rgb="FF000000"/>
      <name val="Century Gothic"/>
    </font>
    <font>
      <b/>
      <sz val="24"/>
      <color rgb="FF000000"/>
      <name val="Century Gothic"/>
    </font>
    <font>
      <b/>
      <sz val="14"/>
      <color rgb="FF000000"/>
      <name val="Century Gothic"/>
    </font>
    <font>
      <sz val="16"/>
      <color rgb="FF000000"/>
      <name val="Century Gothic"/>
    </font>
    <font>
      <sz val="14"/>
      <name val="Century Gothic"/>
    </font>
    <font>
      <sz val="12"/>
      <name val="Century Gothic"/>
    </font>
    <font>
      <b/>
      <sz val="12"/>
      <name val="Century Gothic"/>
    </font>
    <font>
      <sz val="10"/>
      <color rgb="FF000000"/>
      <name val="Century Gothic"/>
    </font>
    <font>
      <sz val="12"/>
      <color rgb="FF7F7F7F"/>
      <name val="Century Gothic"/>
    </font>
    <font>
      <b/>
      <sz val="12"/>
      <color rgb="FFFFFFFF"/>
      <name val="Century Gothic"/>
    </font>
    <font>
      <b/>
      <sz val="12"/>
      <name val="Arial"/>
    </font>
    <font>
      <b/>
      <sz val="10"/>
      <name val="Arial"/>
    </font>
    <font>
      <sz val="11"/>
      <color rgb="FF000000"/>
      <name val="Calibri"/>
    </font>
    <font>
      <sz val="11"/>
      <color rgb="FFFFFFFF"/>
      <name val="Calibri"/>
    </font>
    <font>
      <b/>
      <sz val="11"/>
      <color rgb="FFFFFFFF"/>
      <name val="Calibri"/>
    </font>
    <font>
      <b/>
      <sz val="12"/>
      <color indexed="10"/>
      <name val="Arial"/>
    </font>
    <font>
      <b/>
      <sz val="12"/>
      <color rgb="FF000000"/>
      <name val="Century Gothic"/>
      <family val="2"/>
    </font>
    <font>
      <sz val="11"/>
      <name val="Calibri"/>
      <family val="2"/>
    </font>
    <font>
      <b/>
      <sz val="14"/>
      <color rgb="FF000000"/>
      <name val="Century Gothic"/>
      <family val="2"/>
    </font>
    <font>
      <sz val="12"/>
      <color rgb="FF000000"/>
      <name val="Century Gothic"/>
      <family val="2"/>
    </font>
    <font>
      <sz val="11"/>
      <color rgb="FF000000"/>
      <name val="Century Gothic"/>
      <family val="2"/>
    </font>
    <font>
      <sz val="11"/>
      <color rgb="FF000000"/>
      <name val="Calibri"/>
      <family val="2"/>
    </font>
    <font>
      <b/>
      <sz val="15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616D3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FCDC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3" fillId="0" borderId="0">
      <protection locked="0"/>
    </xf>
    <xf numFmtId="0" fontId="24" fillId="8" borderId="0">
      <protection locked="0"/>
    </xf>
    <xf numFmtId="0" fontId="25" fillId="8" borderId="56">
      <protection locked="0"/>
    </xf>
  </cellStyleXfs>
  <cellXfs count="423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/>
    <xf numFmtId="164" fontId="2" fillId="0" borderId="0" xfId="0" applyNumberFormat="1" applyFont="1" applyAlignment="1">
      <alignment vertical="top"/>
    </xf>
    <xf numFmtId="0" fontId="1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/>
    <xf numFmtId="164" fontId="4" fillId="0" borderId="0" xfId="0" applyNumberFormat="1" applyFont="1" applyAlignment="1"/>
    <xf numFmtId="9" fontId="4" fillId="0" borderId="0" xfId="0" applyNumberFormat="1" applyFont="1" applyAlignment="1">
      <alignment horizontal="center" vertical="center"/>
    </xf>
    <xf numFmtId="164" fontId="4" fillId="0" borderId="6" xfId="0" applyNumberFormat="1" applyFont="1" applyBorder="1" applyAlignment="1"/>
    <xf numFmtId="0" fontId="4" fillId="0" borderId="0" xfId="0" applyFont="1">
      <alignment vertical="center"/>
    </xf>
    <xf numFmtId="164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/>
    <xf numFmtId="0" fontId="5" fillId="0" borderId="7" xfId="0" applyFont="1" applyBorder="1" applyAlignment="1">
      <alignment horizontal="center" vertical="center"/>
    </xf>
    <xf numFmtId="164" fontId="1" fillId="0" borderId="5" xfId="0" applyNumberFormat="1" applyFont="1" applyBorder="1" applyAlignment="1"/>
    <xf numFmtId="164" fontId="1" fillId="0" borderId="7" xfId="0" applyNumberFormat="1" applyFont="1" applyBorder="1" applyAlignment="1"/>
    <xf numFmtId="164" fontId="1" fillId="0" borderId="8" xfId="0" applyNumberFormat="1" applyFont="1" applyBorder="1" applyAlignment="1"/>
    <xf numFmtId="164" fontId="4" fillId="0" borderId="0" xfId="0" applyNumberFormat="1" applyFont="1" applyAlignment="1">
      <alignment horizontal="center" vertical="center"/>
    </xf>
    <xf numFmtId="165" fontId="4" fillId="3" borderId="0" xfId="0" applyNumberFormat="1" applyFont="1" applyFill="1">
      <alignment vertical="center"/>
    </xf>
    <xf numFmtId="164" fontId="7" fillId="0" borderId="0" xfId="0" applyNumberFormat="1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8" fillId="0" borderId="0" xfId="0" applyFont="1" applyAlignment="1"/>
    <xf numFmtId="0" fontId="1" fillId="4" borderId="0" xfId="0" applyFont="1" applyFill="1" applyAlignment="1"/>
    <xf numFmtId="0" fontId="5" fillId="0" borderId="0" xfId="0" applyFont="1" applyAlignment="1">
      <alignment horizontal="center" vertical="center"/>
    </xf>
    <xf numFmtId="0" fontId="5" fillId="5" borderId="9" xfId="0" applyFont="1" applyFill="1" applyBorder="1" applyAlignment="1"/>
    <xf numFmtId="0" fontId="7" fillId="5" borderId="10" xfId="0" applyFont="1" applyFill="1" applyBorder="1" applyAlignment="1"/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1" fillId="0" borderId="12" xfId="0" applyFont="1" applyBorder="1" applyAlignment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/>
    <xf numFmtId="44" fontId="4" fillId="0" borderId="13" xfId="0" applyNumberFormat="1" applyFont="1" applyBorder="1" applyAlignment="1"/>
    <xf numFmtId="0" fontId="4" fillId="0" borderId="13" xfId="0" applyFont="1" applyBorder="1" applyAlignment="1">
      <alignment horizontal="center"/>
    </xf>
    <xf numFmtId="44" fontId="4" fillId="0" borderId="14" xfId="0" applyNumberFormat="1" applyFont="1" applyBorder="1" applyAlignment="1"/>
    <xf numFmtId="0" fontId="1" fillId="0" borderId="15" xfId="0" applyFont="1" applyBorder="1" applyAlignment="1"/>
    <xf numFmtId="164" fontId="1" fillId="0" borderId="16" xfId="0" applyNumberFormat="1" applyFont="1" applyBorder="1" applyAlignment="1"/>
    <xf numFmtId="0" fontId="1" fillId="0" borderId="16" xfId="1" applyNumberFormat="1" applyFont="1" applyBorder="1" applyAlignment="1" applyProtection="1">
      <alignment horizontal="center" vertical="center"/>
    </xf>
    <xf numFmtId="0" fontId="1" fillId="0" borderId="16" xfId="0" applyFont="1" applyBorder="1" applyAlignment="1"/>
    <xf numFmtId="44" fontId="4" fillId="0" borderId="0" xfId="0" applyNumberFormat="1" applyFont="1" applyAlignment="1"/>
    <xf numFmtId="0" fontId="4" fillId="0" borderId="0" xfId="0" applyFont="1" applyAlignment="1">
      <alignment horizontal="center"/>
    </xf>
    <xf numFmtId="44" fontId="4" fillId="0" borderId="17" xfId="0" applyNumberFormat="1" applyFont="1" applyBorder="1" applyAlignment="1"/>
    <xf numFmtId="0" fontId="5" fillId="0" borderId="9" xfId="0" applyFont="1" applyBorder="1" applyAlignment="1">
      <alignment horizontal="center" vertical="center"/>
    </xf>
    <xf numFmtId="44" fontId="9" fillId="2" borderId="18" xfId="2" applyNumberFormat="1" applyFont="1" applyFill="1" applyBorder="1" applyProtection="1"/>
    <xf numFmtId="44" fontId="5" fillId="0" borderId="0" xfId="0" applyNumberFormat="1" applyFont="1" applyAlignment="1"/>
    <xf numFmtId="0" fontId="5" fillId="5" borderId="9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1" fillId="0" borderId="12" xfId="0" applyFont="1" applyBorder="1" applyAlignment="1">
      <alignment horizontal="center"/>
    </xf>
    <xf numFmtId="44" fontId="1" fillId="0" borderId="14" xfId="0" applyNumberFormat="1" applyFont="1" applyBorder="1" applyAlignment="1"/>
    <xf numFmtId="0" fontId="1" fillId="0" borderId="19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44" fontId="1" fillId="0" borderId="17" xfId="0" applyNumberFormat="1" applyFont="1" applyBorder="1" applyAlignment="1"/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/>
    <xf numFmtId="164" fontId="5" fillId="0" borderId="10" xfId="0" applyNumberFormat="1" applyFont="1" applyBorder="1" applyAlignment="1"/>
    <xf numFmtId="0" fontId="1" fillId="0" borderId="10" xfId="0" applyFont="1" applyBorder="1" applyAlignment="1">
      <alignment horizontal="center" vertical="center"/>
    </xf>
    <xf numFmtId="44" fontId="7" fillId="0" borderId="0" xfId="0" applyNumberFormat="1" applyFont="1" applyAlignment="1"/>
    <xf numFmtId="0" fontId="10" fillId="0" borderId="0" xfId="0" applyFont="1" applyAlignment="1"/>
    <xf numFmtId="44" fontId="1" fillId="0" borderId="0" xfId="0" applyNumberFormat="1" applyFont="1" applyAlignment="1">
      <alignment horizontal="center"/>
    </xf>
    <xf numFmtId="9" fontId="7" fillId="0" borderId="0" xfId="1" applyFont="1" applyProtection="1"/>
    <xf numFmtId="164" fontId="1" fillId="0" borderId="0" xfId="0" applyNumberFormat="1" applyFont="1" applyAlignment="1"/>
    <xf numFmtId="9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/>
    <xf numFmtId="0" fontId="11" fillId="0" borderId="0" xfId="0" applyFont="1" applyAlignment="1">
      <alignment horizontal="center" vertical="center"/>
    </xf>
    <xf numFmtId="9" fontId="5" fillId="5" borderId="10" xfId="1" applyFont="1" applyFill="1" applyBorder="1" applyAlignment="1" applyProtection="1">
      <alignment vertical="center"/>
    </xf>
    <xf numFmtId="9" fontId="5" fillId="5" borderId="11" xfId="1" applyFont="1" applyFill="1" applyBorder="1" applyAlignment="1" applyProtection="1">
      <alignment vertical="center"/>
    </xf>
    <xf numFmtId="0" fontId="4" fillId="0" borderId="20" xfId="0" applyFont="1" applyBorder="1" applyAlignment="1"/>
    <xf numFmtId="9" fontId="4" fillId="0" borderId="20" xfId="0" applyNumberFormat="1" applyFont="1" applyBorder="1" applyAlignment="1"/>
    <xf numFmtId="164" fontId="4" fillId="0" borderId="20" xfId="0" applyNumberFormat="1" applyFont="1" applyBorder="1" applyAlignment="1"/>
    <xf numFmtId="0" fontId="7" fillId="0" borderId="12" xfId="0" applyFont="1" applyBorder="1" applyAlignment="1"/>
    <xf numFmtId="9" fontId="7" fillId="0" borderId="13" xfId="1" applyFont="1" applyBorder="1" applyProtection="1"/>
    <xf numFmtId="164" fontId="7" fillId="0" borderId="14" xfId="0" applyNumberFormat="1" applyFont="1" applyBorder="1" applyAlignment="1"/>
    <xf numFmtId="0" fontId="7" fillId="0" borderId="15" xfId="0" applyFont="1" applyBorder="1" applyAlignment="1"/>
    <xf numFmtId="9" fontId="7" fillId="0" borderId="16" xfId="1" applyFont="1" applyBorder="1" applyProtection="1"/>
    <xf numFmtId="164" fontId="7" fillId="0" borderId="22" xfId="0" applyNumberFormat="1" applyFont="1" applyBorder="1" applyAlignment="1"/>
    <xf numFmtId="0" fontId="4" fillId="0" borderId="23" xfId="0" applyFont="1" applyBorder="1" applyAlignment="1"/>
    <xf numFmtId="9" fontId="4" fillId="0" borderId="23" xfId="0" applyNumberFormat="1" applyFont="1" applyBorder="1" applyAlignment="1"/>
    <xf numFmtId="164" fontId="4" fillId="0" borderId="23" xfId="0" applyNumberFormat="1" applyFont="1" applyBorder="1" applyAlignment="1"/>
    <xf numFmtId="10" fontId="7" fillId="0" borderId="0" xfId="1" applyNumberFormat="1" applyFont="1" applyAlignment="1" applyProtection="1">
      <alignment horizontal="left"/>
    </xf>
    <xf numFmtId="0" fontId="6" fillId="0" borderId="24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/>
    <xf numFmtId="166" fontId="7" fillId="0" borderId="0" xfId="0" applyNumberFormat="1" applyFont="1" applyAlignment="1"/>
    <xf numFmtId="0" fontId="12" fillId="0" borderId="0" xfId="0" applyFont="1" applyAlignment="1">
      <alignment horizontal="left" vertical="center"/>
    </xf>
    <xf numFmtId="0" fontId="13" fillId="5" borderId="3" xfId="0" applyFont="1" applyFill="1" applyBorder="1" applyAlignment="1">
      <alignment horizontal="left"/>
    </xf>
    <xf numFmtId="0" fontId="7" fillId="5" borderId="7" xfId="0" applyFont="1" applyFill="1" applyBorder="1" applyAlignment="1"/>
    <xf numFmtId="0" fontId="7" fillId="5" borderId="8" xfId="0" applyFont="1" applyFill="1" applyBorder="1" applyAlignment="1"/>
    <xf numFmtId="0" fontId="1" fillId="5" borderId="3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1" fillId="0" borderId="6" xfId="0" applyFont="1" applyBorder="1" applyAlignment="1"/>
    <xf numFmtId="164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5" fillId="0" borderId="29" xfId="0" applyNumberFormat="1" applyFont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14" fillId="6" borderId="3" xfId="0" applyFont="1" applyFill="1" applyBorder="1" applyAlignment="1">
      <alignment horizontal="left"/>
    </xf>
    <xf numFmtId="0" fontId="14" fillId="6" borderId="7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5" fillId="7" borderId="3" xfId="2" applyFont="1" applyFill="1" applyBorder="1" applyAlignment="1" applyProtection="1">
      <alignment horizontal="left"/>
    </xf>
    <xf numFmtId="0" fontId="15" fillId="7" borderId="7" xfId="2" applyFont="1" applyFill="1" applyBorder="1" applyAlignment="1" applyProtection="1">
      <alignment horizontal="center"/>
    </xf>
    <xf numFmtId="0" fontId="15" fillId="7" borderId="8" xfId="2" applyFont="1" applyFill="1" applyBorder="1" applyAlignment="1" applyProtection="1">
      <alignment horizontal="center"/>
    </xf>
    <xf numFmtId="0" fontId="16" fillId="7" borderId="29" xfId="2" applyFont="1" applyFill="1" applyBorder="1" applyAlignment="1" applyProtection="1">
      <alignment horizontal="center"/>
    </xf>
    <xf numFmtId="0" fontId="16" fillId="7" borderId="3" xfId="2" applyFont="1" applyFill="1" applyBorder="1" applyAlignment="1" applyProtection="1">
      <alignment horizontal="center"/>
    </xf>
    <xf numFmtId="0" fontId="1" fillId="0" borderId="30" xfId="0" applyFont="1" applyBorder="1" applyAlignment="1"/>
    <xf numFmtId="0" fontId="7" fillId="0" borderId="6" xfId="0" applyFont="1" applyBorder="1" applyAlignment="1"/>
    <xf numFmtId="9" fontId="1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/>
    <xf numFmtId="164" fontId="1" fillId="0" borderId="31" xfId="0" applyNumberFormat="1" applyFont="1" applyBorder="1" applyAlignment="1"/>
    <xf numFmtId="0" fontId="1" fillId="0" borderId="21" xfId="0" applyFont="1" applyBorder="1" applyAlignment="1"/>
    <xf numFmtId="0" fontId="7" fillId="0" borderId="0" xfId="0" applyFont="1" applyAlignment="1"/>
    <xf numFmtId="164" fontId="1" fillId="0" borderId="32" xfId="0" applyNumberFormat="1" applyFont="1" applyBorder="1" applyAlignment="1"/>
    <xf numFmtId="0" fontId="1" fillId="0" borderId="1" xfId="0" applyFont="1" applyBorder="1" applyAlignment="1"/>
    <xf numFmtId="0" fontId="7" fillId="0" borderId="2" xfId="0" applyFont="1" applyBorder="1" applyAlignment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/>
    <xf numFmtId="164" fontId="1" fillId="0" borderId="18" xfId="0" applyNumberFormat="1" applyFont="1" applyBorder="1" applyAlignment="1"/>
    <xf numFmtId="164" fontId="13" fillId="0" borderId="8" xfId="0" applyNumberFormat="1" applyFont="1" applyBorder="1" applyAlignment="1"/>
    <xf numFmtId="164" fontId="9" fillId="2" borderId="8" xfId="2" applyNumberFormat="1" applyFont="1" applyFill="1" applyBorder="1" applyProtection="1"/>
    <xf numFmtId="0" fontId="1" fillId="0" borderId="0" xfId="0" applyFont="1" applyAlignment="1">
      <alignment horizontal="left" vertical="center" wrapText="1"/>
    </xf>
    <xf numFmtId="164" fontId="18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 applyAlignment="1"/>
    <xf numFmtId="167" fontId="7" fillId="0" borderId="0" xfId="1" applyNumberFormat="1" applyFont="1" applyProtection="1"/>
    <xf numFmtId="0" fontId="3" fillId="6" borderId="29" xfId="0" applyFont="1" applyFill="1" applyBorder="1" applyAlignment="1">
      <alignment horizontal="center"/>
    </xf>
    <xf numFmtId="0" fontId="1" fillId="0" borderId="31" xfId="0" applyFont="1" applyBorder="1" applyAlignment="1"/>
    <xf numFmtId="0" fontId="1" fillId="0" borderId="33" xfId="0" applyFont="1" applyBorder="1" applyAlignment="1"/>
    <xf numFmtId="0" fontId="1" fillId="0" borderId="34" xfId="0" applyFont="1" applyBorder="1" applyAlignment="1"/>
    <xf numFmtId="0" fontId="1" fillId="0" borderId="35" xfId="0" applyFont="1" applyBorder="1" applyAlignment="1"/>
    <xf numFmtId="0" fontId="1" fillId="0" borderId="29" xfId="0" applyFont="1" applyBorder="1" applyAlignment="1">
      <alignment horizontal="center"/>
    </xf>
    <xf numFmtId="0" fontId="19" fillId="0" borderId="0" xfId="0" applyFont="1" applyAlignment="1"/>
    <xf numFmtId="0" fontId="1" fillId="0" borderId="36" xfId="0" applyFont="1" applyBorder="1" applyAlignment="1"/>
    <xf numFmtId="0" fontId="1" fillId="0" borderId="37" xfId="0" applyFont="1" applyBorder="1" applyAlignment="1">
      <alignment horizontal="center"/>
    </xf>
    <xf numFmtId="164" fontId="1" fillId="0" borderId="38" xfId="0" applyNumberFormat="1" applyFont="1" applyBorder="1" applyAlignment="1"/>
    <xf numFmtId="0" fontId="1" fillId="0" borderId="39" xfId="0" applyFont="1" applyBorder="1" applyAlignment="1"/>
    <xf numFmtId="164" fontId="1" fillId="0" borderId="29" xfId="0" applyNumberFormat="1" applyFont="1" applyBorder="1" applyAlignment="1">
      <alignment horizontal="center"/>
    </xf>
    <xf numFmtId="164" fontId="19" fillId="0" borderId="0" xfId="0" applyNumberFormat="1" applyFont="1" applyAlignment="1"/>
    <xf numFmtId="164" fontId="5" fillId="5" borderId="40" xfId="0" applyNumberFormat="1" applyFont="1" applyFill="1" applyBorder="1" applyAlignment="1"/>
    <xf numFmtId="0" fontId="20" fillId="8" borderId="29" xfId="2" applyFont="1" applyBorder="1" applyProtection="1"/>
    <xf numFmtId="0" fontId="20" fillId="8" borderId="29" xfId="2" applyFont="1" applyBorder="1" applyAlignment="1" applyProtection="1">
      <alignment horizontal="center"/>
    </xf>
    <xf numFmtId="0" fontId="20" fillId="8" borderId="41" xfId="3" applyFont="1" applyBorder="1" applyProtection="1"/>
    <xf numFmtId="164" fontId="20" fillId="8" borderId="28" xfId="3" applyNumberFormat="1" applyFont="1" applyBorder="1" applyProtection="1"/>
    <xf numFmtId="0" fontId="18" fillId="0" borderId="42" xfId="0" applyFont="1" applyBorder="1" applyAlignment="1"/>
    <xf numFmtId="0" fontId="1" fillId="0" borderId="43" xfId="0" applyFont="1" applyBorder="1" applyAlignment="1"/>
    <xf numFmtId="9" fontId="1" fillId="0" borderId="43" xfId="0" applyNumberFormat="1" applyFont="1" applyBorder="1" applyAlignment="1">
      <alignment horizontal="center"/>
    </xf>
    <xf numFmtId="164" fontId="1" fillId="0" borderId="43" xfId="0" applyNumberFormat="1" applyFont="1" applyBorder="1" applyAlignment="1"/>
    <xf numFmtId="9" fontId="1" fillId="0" borderId="43" xfId="0" applyNumberFormat="1" applyFont="1" applyBorder="1" applyAlignment="1"/>
    <xf numFmtId="164" fontId="1" fillId="0" borderId="44" xfId="0" applyNumberFormat="1" applyFont="1" applyBorder="1" applyAlignment="1"/>
    <xf numFmtId="0" fontId="1" fillId="0" borderId="45" xfId="0" applyFont="1" applyBorder="1" applyAlignment="1">
      <alignment horizontal="center"/>
    </xf>
    <xf numFmtId="164" fontId="7" fillId="0" borderId="36" xfId="0" applyNumberFormat="1" applyFont="1" applyBorder="1" applyAlignment="1"/>
    <xf numFmtId="0" fontId="18" fillId="0" borderId="46" xfId="0" applyFont="1" applyBorder="1" applyAlignment="1"/>
    <xf numFmtId="0" fontId="1" fillId="0" borderId="47" xfId="0" applyFont="1" applyBorder="1" applyAlignment="1"/>
    <xf numFmtId="9" fontId="1" fillId="0" borderId="47" xfId="0" applyNumberFormat="1" applyFont="1" applyBorder="1" applyAlignment="1">
      <alignment horizontal="center"/>
    </xf>
    <xf numFmtId="164" fontId="1" fillId="0" borderId="47" xfId="0" applyNumberFormat="1" applyFont="1" applyBorder="1" applyAlignment="1"/>
    <xf numFmtId="9" fontId="1" fillId="0" borderId="47" xfId="0" applyNumberFormat="1" applyFont="1" applyBorder="1" applyAlignment="1"/>
    <xf numFmtId="164" fontId="1" fillId="0" borderId="48" xfId="0" applyNumberFormat="1" applyFont="1" applyBorder="1" applyAlignment="1"/>
    <xf numFmtId="0" fontId="1" fillId="0" borderId="49" xfId="0" applyFont="1" applyBorder="1" applyAlignment="1">
      <alignment horizontal="center"/>
    </xf>
    <xf numFmtId="164" fontId="7" fillId="0" borderId="50" xfId="0" applyNumberFormat="1" applyFont="1" applyBorder="1" applyAlignment="1"/>
    <xf numFmtId="0" fontId="18" fillId="0" borderId="51" xfId="0" applyFont="1" applyBorder="1" applyAlignment="1"/>
    <xf numFmtId="0" fontId="1" fillId="0" borderId="38" xfId="0" applyFont="1" applyBorder="1" applyAlignment="1"/>
    <xf numFmtId="9" fontId="1" fillId="0" borderId="38" xfId="0" applyNumberFormat="1" applyFont="1" applyBorder="1" applyAlignment="1">
      <alignment horizontal="center"/>
    </xf>
    <xf numFmtId="9" fontId="1" fillId="0" borderId="38" xfId="0" applyNumberFormat="1" applyFont="1" applyBorder="1" applyAlignment="1"/>
    <xf numFmtId="164" fontId="1" fillId="0" borderId="52" xfId="0" applyNumberFormat="1" applyFont="1" applyBorder="1" applyAlignment="1"/>
    <xf numFmtId="0" fontId="1" fillId="0" borderId="53" xfId="0" applyFont="1" applyBorder="1" applyAlignment="1">
      <alignment horizontal="center"/>
    </xf>
    <xf numFmtId="164" fontId="7" fillId="0" borderId="40" xfId="0" applyNumberFormat="1" applyFont="1" applyBorder="1" applyAlignment="1"/>
    <xf numFmtId="0" fontId="1" fillId="0" borderId="42" xfId="0" applyFont="1" applyBorder="1" applyAlignment="1"/>
    <xf numFmtId="0" fontId="1" fillId="0" borderId="54" xfId="0" applyFont="1" applyBorder="1" applyAlignment="1"/>
    <xf numFmtId="164" fontId="4" fillId="0" borderId="29" xfId="0" applyNumberFormat="1" applyFont="1" applyBorder="1" applyAlignment="1"/>
    <xf numFmtId="0" fontId="1" fillId="0" borderId="51" xfId="0" applyFont="1" applyBorder="1" applyAlignment="1"/>
    <xf numFmtId="0" fontId="1" fillId="0" borderId="46" xfId="0" applyFont="1" applyBorder="1" applyAlignment="1"/>
    <xf numFmtId="0" fontId="1" fillId="0" borderId="7" xfId="0" applyFont="1" applyBorder="1" applyAlignment="1"/>
    <xf numFmtId="0" fontId="1" fillId="0" borderId="29" xfId="0" applyFont="1" applyBorder="1" applyAlignment="1"/>
    <xf numFmtId="164" fontId="20" fillId="8" borderId="8" xfId="2" applyNumberFormat="1" applyFont="1" applyBorder="1" applyProtection="1"/>
    <xf numFmtId="0" fontId="1" fillId="0" borderId="52" xfId="0" applyFont="1" applyBorder="1" applyAlignment="1"/>
    <xf numFmtId="0" fontId="1" fillId="0" borderId="55" xfId="0" applyFont="1" applyBorder="1" applyAlignment="1"/>
    <xf numFmtId="164" fontId="5" fillId="0" borderId="29" xfId="0" applyNumberFormat="1" applyFont="1" applyBorder="1" applyAlignment="1"/>
    <xf numFmtId="0" fontId="21" fillId="0" borderId="16" xfId="0" applyFont="1" applyBorder="1" applyAlignment="1">
      <alignment horizontal="left"/>
    </xf>
    <xf numFmtId="0" fontId="22" fillId="0" borderId="20" xfId="0" applyFont="1" applyBorder="1" applyAlignment="1">
      <alignment horizontal="center" vertical="center"/>
    </xf>
    <xf numFmtId="164" fontId="1" fillId="0" borderId="13" xfId="0" applyNumberFormat="1" applyFont="1" applyBorder="1" applyAlignment="1"/>
    <xf numFmtId="10" fontId="1" fillId="0" borderId="14" xfId="1" applyNumberFormat="1" applyFont="1" applyBorder="1" applyProtection="1"/>
    <xf numFmtId="0" fontId="1" fillId="0" borderId="17" xfId="0" applyFont="1" applyBorder="1" applyAlignment="1"/>
    <xf numFmtId="164" fontId="1" fillId="0" borderId="22" xfId="0" applyNumberFormat="1" applyFont="1" applyBorder="1" applyAlignment="1"/>
    <xf numFmtId="0" fontId="7" fillId="0" borderId="20" xfId="0" applyFont="1" applyBorder="1" applyAlignment="1">
      <alignment horizontal="center"/>
    </xf>
    <xf numFmtId="168" fontId="7" fillId="0" borderId="20" xfId="0" applyNumberFormat="1" applyFont="1" applyBorder="1" applyAlignment="1"/>
    <xf numFmtId="10" fontId="7" fillId="0" borderId="20" xfId="0" applyNumberFormat="1" applyFont="1" applyBorder="1" applyAlignment="1"/>
    <xf numFmtId="168" fontId="1" fillId="0" borderId="0" xfId="0" applyNumberFormat="1" applyFont="1" applyAlignment="1"/>
    <xf numFmtId="169" fontId="1" fillId="0" borderId="0" xfId="0" applyNumberFormat="1" applyFont="1" applyAlignment="1"/>
    <xf numFmtId="168" fontId="7" fillId="0" borderId="20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69" fontId="7" fillId="0" borderId="20" xfId="0" applyNumberFormat="1" applyFont="1" applyBorder="1" applyAlignment="1"/>
    <xf numFmtId="10" fontId="1" fillId="0" borderId="0" xfId="1" applyNumberFormat="1" applyFont="1" applyProtection="1"/>
    <xf numFmtId="0" fontId="7" fillId="0" borderId="0" xfId="0" applyFont="1" applyAlignment="1">
      <alignment horizontal="center"/>
    </xf>
    <xf numFmtId="168" fontId="7" fillId="0" borderId="0" xfId="0" applyNumberFormat="1" applyFont="1" applyAlignment="1"/>
    <xf numFmtId="168" fontId="7" fillId="0" borderId="0" xfId="0" applyNumberFormat="1" applyFont="1" applyAlignment="1">
      <alignment horizontal="center"/>
    </xf>
    <xf numFmtId="10" fontId="7" fillId="0" borderId="0" xfId="0" applyNumberFormat="1" applyFont="1" applyAlignment="1"/>
    <xf numFmtId="9" fontId="23" fillId="0" borderId="0" xfId="1">
      <protection locked="0"/>
    </xf>
    <xf numFmtId="0" fontId="0" fillId="9" borderId="10" xfId="0" applyFill="1" applyBorder="1">
      <alignment vertical="center"/>
    </xf>
    <xf numFmtId="0" fontId="5" fillId="9" borderId="9" xfId="0" applyFont="1" applyFill="1" applyBorder="1" applyAlignment="1">
      <alignment horizontal="left" vertical="center"/>
    </xf>
    <xf numFmtId="0" fontId="0" fillId="4" borderId="0" xfId="0" applyFill="1">
      <alignment vertical="center"/>
    </xf>
    <xf numFmtId="0" fontId="5" fillId="5" borderId="20" xfId="0" applyFont="1" applyFill="1" applyBorder="1" applyAlignment="1">
      <alignment horizontal="center" vertical="center"/>
    </xf>
    <xf numFmtId="44" fontId="5" fillId="5" borderId="29" xfId="0" applyNumberFormat="1" applyFont="1" applyFill="1" applyBorder="1" applyAlignment="1">
      <alignment horizontal="center" vertical="center"/>
    </xf>
    <xf numFmtId="0" fontId="27" fillId="9" borderId="9" xfId="0" applyFont="1" applyFill="1" applyBorder="1" applyAlignment="1">
      <alignment horizontal="left" vertical="center"/>
    </xf>
    <xf numFmtId="44" fontId="0" fillId="0" borderId="0" xfId="0" applyNumberFormat="1">
      <alignment vertical="center"/>
    </xf>
    <xf numFmtId="0" fontId="28" fillId="0" borderId="0" xfId="0" applyFont="1">
      <alignment vertical="center"/>
    </xf>
    <xf numFmtId="9" fontId="5" fillId="5" borderId="20" xfId="0" applyNumberFormat="1" applyFont="1" applyFill="1" applyBorder="1" applyAlignment="1">
      <alignment horizontal="center" vertical="center"/>
    </xf>
    <xf numFmtId="9" fontId="5" fillId="5" borderId="9" xfId="0" applyNumberFormat="1" applyFont="1" applyFill="1" applyBorder="1" applyAlignment="1">
      <alignment horizontal="center" vertical="center"/>
    </xf>
    <xf numFmtId="164" fontId="5" fillId="5" borderId="29" xfId="0" applyNumberFormat="1" applyFont="1" applyFill="1" applyBorder="1" applyAlignment="1">
      <alignment horizontal="center" vertical="center"/>
    </xf>
    <xf numFmtId="0" fontId="28" fillId="9" borderId="10" xfId="0" applyFont="1" applyFill="1" applyBorder="1">
      <alignment vertical="center"/>
    </xf>
    <xf numFmtId="9" fontId="23" fillId="0" borderId="0" xfId="1" applyAlignment="1">
      <alignment horizontal="center"/>
      <protection locked="0"/>
    </xf>
    <xf numFmtId="164" fontId="6" fillId="4" borderId="0" xfId="0" applyNumberFormat="1" applyFont="1" applyFill="1" applyAlignment="1">
      <alignment horizontal="center"/>
    </xf>
    <xf numFmtId="164" fontId="6" fillId="4" borderId="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9" fontId="5" fillId="5" borderId="9" xfId="1" applyFont="1" applyFill="1" applyBorder="1" applyAlignment="1" applyProtection="1">
      <alignment horizontal="center" vertical="center"/>
    </xf>
    <xf numFmtId="9" fontId="5" fillId="5" borderId="10" xfId="1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9" fontId="5" fillId="5" borderId="11" xfId="1" applyFont="1" applyFill="1" applyBorder="1" applyAlignment="1" applyProtection="1">
      <alignment horizontal="center" vertical="center"/>
    </xf>
    <xf numFmtId="44" fontId="9" fillId="2" borderId="1" xfId="2" applyNumberFormat="1" applyFont="1" applyFill="1" applyBorder="1" applyAlignment="1" applyProtection="1">
      <alignment horizontal="center"/>
    </xf>
    <xf numFmtId="44" fontId="9" fillId="2" borderId="18" xfId="2" applyNumberFormat="1" applyFont="1" applyFill="1" applyBorder="1" applyAlignment="1" applyProtection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4" fontId="13" fillId="2" borderId="15" xfId="0" applyNumberFormat="1" applyFont="1" applyFill="1" applyBorder="1" applyAlignment="1">
      <alignment horizontal="center" vertical="center"/>
    </xf>
    <xf numFmtId="164" fontId="13" fillId="2" borderId="16" xfId="0" applyNumberFormat="1" applyFont="1" applyFill="1" applyBorder="1" applyAlignment="1">
      <alignment horizontal="center" vertical="center"/>
    </xf>
    <xf numFmtId="164" fontId="13" fillId="2" borderId="22" xfId="0" applyNumberFormat="1" applyFont="1" applyFill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44" fontId="1" fillId="0" borderId="9" xfId="0" applyNumberFormat="1" applyFont="1" applyBorder="1" applyAlignment="1">
      <alignment horizontal="center"/>
    </xf>
    <xf numFmtId="44" fontId="1" fillId="0" borderId="10" xfId="0" applyNumberFormat="1" applyFont="1" applyBorder="1" applyAlignment="1">
      <alignment horizontal="center"/>
    </xf>
    <xf numFmtId="164" fontId="9" fillId="2" borderId="3" xfId="3" applyNumberFormat="1" applyFont="1" applyFill="1" applyBorder="1" applyAlignment="1" applyProtection="1">
      <alignment horizontal="center" vertical="center"/>
    </xf>
    <xf numFmtId="164" fontId="9" fillId="2" borderId="7" xfId="3" applyNumberFormat="1" applyFont="1" applyFill="1" applyBorder="1" applyAlignment="1" applyProtection="1">
      <alignment horizontal="center" vertical="center"/>
    </xf>
    <xf numFmtId="164" fontId="9" fillId="2" borderId="8" xfId="3" applyNumberFormat="1" applyFont="1" applyFill="1" applyBorder="1" applyAlignment="1" applyProtection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7" fillId="7" borderId="3" xfId="2" applyFont="1" applyFill="1" applyBorder="1" applyAlignment="1" applyProtection="1">
      <alignment horizontal="center"/>
    </xf>
    <xf numFmtId="0" fontId="17" fillId="7" borderId="7" xfId="2" applyFont="1" applyFill="1" applyBorder="1" applyAlignment="1" applyProtection="1">
      <alignment horizontal="center"/>
    </xf>
    <xf numFmtId="0" fontId="17" fillId="7" borderId="8" xfId="2" applyFont="1" applyFill="1" applyBorder="1" applyAlignment="1" applyProtection="1">
      <alignment horizontal="center"/>
    </xf>
    <xf numFmtId="0" fontId="16" fillId="7" borderId="3" xfId="2" applyFont="1" applyFill="1" applyBorder="1" applyAlignment="1" applyProtection="1">
      <alignment horizontal="center"/>
    </xf>
    <xf numFmtId="0" fontId="16" fillId="7" borderId="7" xfId="2" applyFont="1" applyFill="1" applyBorder="1" applyAlignment="1" applyProtection="1">
      <alignment horizontal="center"/>
    </xf>
    <xf numFmtId="0" fontId="16" fillId="7" borderId="8" xfId="2" applyFont="1" applyFill="1" applyBorder="1" applyAlignment="1" applyProtection="1">
      <alignment horizontal="center"/>
    </xf>
    <xf numFmtId="0" fontId="3" fillId="0" borderId="6" xfId="0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44" fontId="1" fillId="0" borderId="21" xfId="0" applyNumberFormat="1" applyFont="1" applyBorder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11" xfId="0" applyNumberFormat="1" applyFont="1" applyBorder="1" applyAlignment="1">
      <alignment horizontal="center"/>
    </xf>
    <xf numFmtId="44" fontId="9" fillId="2" borderId="2" xfId="2" applyNumberFormat="1" applyFont="1" applyFill="1" applyBorder="1" applyAlignment="1" applyProtection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0" fillId="8" borderId="3" xfId="2" applyFont="1" applyBorder="1" applyAlignment="1" applyProtection="1">
      <alignment horizontal="center"/>
    </xf>
    <xf numFmtId="0" fontId="20" fillId="8" borderId="8" xfId="2" applyFont="1" applyBorder="1" applyAlignment="1" applyProtection="1">
      <alignment horizontal="center"/>
    </xf>
    <xf numFmtId="0" fontId="21" fillId="0" borderId="16" xfId="0" applyFont="1" applyBorder="1" applyAlignment="1">
      <alignment horizontal="left"/>
    </xf>
    <xf numFmtId="0" fontId="22" fillId="0" borderId="20" xfId="0" applyFont="1" applyBorder="1" applyAlignment="1">
      <alignment horizontal="center" vertical="center"/>
    </xf>
    <xf numFmtId="0" fontId="0" fillId="0" borderId="0" xfId="0">
      <alignment vertical="center"/>
    </xf>
    <xf numFmtId="0" fontId="27" fillId="10" borderId="3" xfId="0" applyFont="1" applyFill="1" applyBorder="1" applyAlignment="1">
      <alignment horizontal="left" vertical="center"/>
    </xf>
    <xf numFmtId="0" fontId="0" fillId="10" borderId="7" xfId="0" applyFill="1" applyBorder="1" applyAlignment="1"/>
    <xf numFmtId="0" fontId="0" fillId="10" borderId="8" xfId="0" applyFill="1" applyBorder="1" applyAlignment="1"/>
    <xf numFmtId="0" fontId="27" fillId="10" borderId="3" xfId="0" applyFont="1" applyFill="1" applyBorder="1" applyAlignment="1">
      <alignment horizontal="center"/>
    </xf>
    <xf numFmtId="44" fontId="29" fillId="11" borderId="58" xfId="0" applyNumberFormat="1" applyFont="1" applyFill="1" applyBorder="1">
      <alignment vertical="center"/>
    </xf>
    <xf numFmtId="44" fontId="29" fillId="11" borderId="8" xfId="0" applyNumberFormat="1" applyFont="1" applyFill="1" applyBorder="1">
      <alignment vertical="center"/>
    </xf>
    <xf numFmtId="0" fontId="27" fillId="10" borderId="7" xfId="0" applyFont="1" applyFill="1" applyBorder="1" applyAlignment="1">
      <alignment horizontal="center" vertical="center"/>
    </xf>
    <xf numFmtId="0" fontId="27" fillId="10" borderId="7" xfId="0" applyFont="1" applyFill="1" applyBorder="1" applyAlignment="1">
      <alignment horizontal="center" vertical="center"/>
    </xf>
    <xf numFmtId="0" fontId="27" fillId="10" borderId="8" xfId="0" applyFont="1" applyFill="1" applyBorder="1" applyAlignment="1">
      <alignment horizontal="center" vertical="center"/>
    </xf>
    <xf numFmtId="0" fontId="30" fillId="10" borderId="59" xfId="0" applyFont="1" applyFill="1" applyBorder="1" applyAlignment="1"/>
    <xf numFmtId="0" fontId="30" fillId="10" borderId="13" xfId="0" applyFont="1" applyFill="1" applyBorder="1" applyAlignment="1">
      <alignment horizontal="center" vertical="center"/>
    </xf>
    <xf numFmtId="0" fontId="30" fillId="10" borderId="13" xfId="0" applyFont="1" applyFill="1" applyBorder="1" applyAlignment="1"/>
    <xf numFmtId="44" fontId="31" fillId="10" borderId="6" xfId="0" applyNumberFormat="1" applyFont="1" applyFill="1" applyBorder="1" applyAlignment="1">
      <alignment horizontal="center"/>
    </xf>
    <xf numFmtId="44" fontId="31" fillId="10" borderId="31" xfId="0" applyNumberFormat="1" applyFont="1" applyFill="1" applyBorder="1" applyAlignment="1">
      <alignment horizontal="center"/>
    </xf>
    <xf numFmtId="0" fontId="30" fillId="10" borderId="1" xfId="0" applyFont="1" applyFill="1" applyBorder="1" applyAlignment="1"/>
    <xf numFmtId="164" fontId="30" fillId="10" borderId="2" xfId="0" applyNumberFormat="1" applyFont="1" applyFill="1" applyBorder="1" applyAlignment="1"/>
    <xf numFmtId="0" fontId="30" fillId="10" borderId="2" xfId="1" applyNumberFormat="1" applyFont="1" applyFill="1" applyBorder="1" applyAlignment="1" applyProtection="1">
      <alignment horizontal="center" vertical="center"/>
    </xf>
    <xf numFmtId="0" fontId="30" fillId="10" borderId="2" xfId="0" applyFont="1" applyFill="1" applyBorder="1" applyAlignment="1"/>
    <xf numFmtId="44" fontId="31" fillId="10" borderId="2" xfId="0" applyNumberFormat="1" applyFont="1" applyFill="1" applyBorder="1" applyAlignment="1">
      <alignment horizontal="center"/>
    </xf>
    <xf numFmtId="44" fontId="31" fillId="10" borderId="18" xfId="0" applyNumberFormat="1" applyFont="1" applyFill="1" applyBorder="1" applyAlignment="1">
      <alignment horizontal="center"/>
    </xf>
    <xf numFmtId="0" fontId="27" fillId="10" borderId="3" xfId="0" applyFont="1" applyFill="1" applyBorder="1" applyAlignment="1">
      <alignment horizontal="center"/>
    </xf>
    <xf numFmtId="0" fontId="27" fillId="10" borderId="60" xfId="0" applyFont="1" applyFill="1" applyBorder="1" applyAlignment="1">
      <alignment horizontal="center"/>
    </xf>
    <xf numFmtId="0" fontId="27" fillId="10" borderId="5" xfId="0" applyFont="1" applyFill="1" applyBorder="1" applyAlignment="1">
      <alignment horizontal="center" vertical="center"/>
    </xf>
    <xf numFmtId="164" fontId="32" fillId="0" borderId="0" xfId="0" applyNumberFormat="1" applyFont="1" applyAlignment="1"/>
    <xf numFmtId="0" fontId="30" fillId="10" borderId="30" xfId="0" applyFont="1" applyFill="1" applyBorder="1" applyAlignment="1"/>
    <xf numFmtId="0" fontId="30" fillId="10" borderId="6" xfId="0" applyFont="1" applyFill="1" applyBorder="1" applyAlignment="1">
      <alignment horizontal="center"/>
    </xf>
    <xf numFmtId="0" fontId="0" fillId="10" borderId="6" xfId="0" applyFill="1" applyBorder="1" applyAlignment="1"/>
    <xf numFmtId="44" fontId="30" fillId="10" borderId="6" xfId="0" applyNumberFormat="1" applyFont="1" applyFill="1" applyBorder="1" applyAlignment="1">
      <alignment horizontal="center"/>
    </xf>
    <xf numFmtId="44" fontId="30" fillId="10" borderId="31" xfId="0" applyNumberFormat="1" applyFont="1" applyFill="1" applyBorder="1" applyAlignment="1">
      <alignment horizontal="center"/>
    </xf>
    <xf numFmtId="0" fontId="30" fillId="10" borderId="2" xfId="0" applyFont="1" applyFill="1" applyBorder="1" applyAlignment="1">
      <alignment horizontal="center"/>
    </xf>
    <xf numFmtId="0" fontId="0" fillId="10" borderId="2" xfId="0" applyFill="1" applyBorder="1" applyAlignment="1"/>
    <xf numFmtId="44" fontId="30" fillId="10" borderId="2" xfId="0" applyNumberFormat="1" applyFont="1" applyFill="1" applyBorder="1" applyAlignment="1">
      <alignment horizontal="center"/>
    </xf>
    <xf numFmtId="44" fontId="30" fillId="10" borderId="18" xfId="0" applyNumberFormat="1" applyFont="1" applyFill="1" applyBorder="1" applyAlignment="1">
      <alignment horizontal="center"/>
    </xf>
    <xf numFmtId="0" fontId="0" fillId="0" borderId="21" xfId="0" applyBorder="1" applyAlignment="1"/>
    <xf numFmtId="0" fontId="27" fillId="10" borderId="3" xfId="0" applyFont="1" applyFill="1" applyBorder="1" applyAlignment="1">
      <alignment horizontal="center" vertical="center"/>
    </xf>
    <xf numFmtId="0" fontId="27" fillId="10" borderId="60" xfId="0" applyFont="1" applyFill="1" applyBorder="1" applyAlignment="1">
      <alignment horizontal="center" vertical="center"/>
    </xf>
    <xf numFmtId="0" fontId="0" fillId="0" borderId="0" xfId="0" applyAlignment="1"/>
    <xf numFmtId="0" fontId="27" fillId="10" borderId="3" xfId="0" applyFont="1" applyFill="1" applyBorder="1" applyAlignment="1">
      <alignment horizontal="left" vertical="center"/>
    </xf>
    <xf numFmtId="0" fontId="27" fillId="10" borderId="7" xfId="0" applyFont="1" applyFill="1" applyBorder="1" applyAlignment="1">
      <alignment horizontal="left" vertical="center"/>
    </xf>
    <xf numFmtId="0" fontId="27" fillId="10" borderId="8" xfId="0" applyFont="1" applyFill="1" applyBorder="1" applyAlignment="1">
      <alignment horizontal="left" vertical="center"/>
    </xf>
    <xf numFmtId="0" fontId="30" fillId="10" borderId="3" xfId="0" applyFont="1" applyFill="1" applyBorder="1" applyAlignment="1">
      <alignment horizontal="center" vertical="center"/>
    </xf>
    <xf numFmtId="0" fontId="30" fillId="10" borderId="3" xfId="0" applyFont="1" applyFill="1" applyBorder="1" applyAlignment="1">
      <alignment horizontal="center" vertical="center"/>
    </xf>
    <xf numFmtId="0" fontId="30" fillId="10" borderId="7" xfId="0" applyFont="1" applyFill="1" applyBorder="1" applyAlignment="1">
      <alignment horizontal="center" vertical="center"/>
    </xf>
    <xf numFmtId="0" fontId="30" fillId="10" borderId="8" xfId="0" applyFont="1" applyFill="1" applyBorder="1" applyAlignment="1">
      <alignment horizontal="center" vertical="center"/>
    </xf>
    <xf numFmtId="44" fontId="29" fillId="10" borderId="58" xfId="0" applyNumberFormat="1" applyFont="1" applyFill="1" applyBorder="1">
      <alignment vertical="center"/>
    </xf>
    <xf numFmtId="44" fontId="29" fillId="10" borderId="58" xfId="0" applyNumberFormat="1" applyFont="1" applyFill="1" applyBorder="1" applyAlignment="1">
      <alignment horizontal="center" vertical="center"/>
    </xf>
    <xf numFmtId="44" fontId="29" fillId="10" borderId="7" xfId="0" applyNumberFormat="1" applyFont="1" applyFill="1" applyBorder="1" applyAlignment="1">
      <alignment horizontal="center" vertical="center"/>
    </xf>
    <xf numFmtId="44" fontId="29" fillId="10" borderId="57" xfId="0" applyNumberFormat="1" applyFont="1" applyFill="1" applyBorder="1" applyAlignment="1">
      <alignment horizontal="center" vertical="center"/>
    </xf>
    <xf numFmtId="44" fontId="30" fillId="10" borderId="30" xfId="0" applyNumberFormat="1" applyFont="1" applyFill="1" applyBorder="1" applyAlignment="1">
      <alignment horizontal="center"/>
    </xf>
    <xf numFmtId="44" fontId="30" fillId="10" borderId="30" xfId="0" applyNumberFormat="1" applyFont="1" applyFill="1" applyBorder="1" applyAlignment="1">
      <alignment horizontal="right"/>
    </xf>
    <xf numFmtId="44" fontId="30" fillId="10" borderId="30" xfId="0" applyNumberFormat="1" applyFont="1" applyFill="1" applyBorder="1" applyAlignment="1">
      <alignment horizontal="right"/>
    </xf>
    <xf numFmtId="44" fontId="30" fillId="10" borderId="31" xfId="0" applyNumberFormat="1" applyFont="1" applyFill="1" applyBorder="1" applyAlignment="1">
      <alignment horizontal="right"/>
    </xf>
    <xf numFmtId="44" fontId="30" fillId="10" borderId="1" xfId="0" applyNumberFormat="1" applyFont="1" applyFill="1" applyBorder="1" applyAlignment="1">
      <alignment horizontal="center"/>
    </xf>
    <xf numFmtId="44" fontId="30" fillId="10" borderId="1" xfId="0" applyNumberFormat="1" applyFont="1" applyFill="1" applyBorder="1" applyAlignment="1">
      <alignment horizontal="right"/>
    </xf>
    <xf numFmtId="44" fontId="30" fillId="10" borderId="1" xfId="0" applyNumberFormat="1" applyFont="1" applyFill="1" applyBorder="1" applyAlignment="1">
      <alignment horizontal="right"/>
    </xf>
    <xf numFmtId="44" fontId="30" fillId="10" borderId="18" xfId="0" applyNumberFormat="1" applyFont="1" applyFill="1" applyBorder="1" applyAlignment="1">
      <alignment horizontal="right"/>
    </xf>
    <xf numFmtId="44" fontId="27" fillId="2" borderId="58" xfId="0" applyNumberFormat="1" applyFont="1" applyFill="1" applyBorder="1">
      <alignment vertical="center"/>
    </xf>
    <xf numFmtId="44" fontId="29" fillId="2" borderId="58" xfId="0" applyNumberFormat="1" applyFont="1" applyFill="1" applyBorder="1" applyAlignment="1">
      <alignment horizontal="right" vertical="center"/>
    </xf>
    <xf numFmtId="44" fontId="29" fillId="2" borderId="8" xfId="0" applyNumberFormat="1" applyFont="1" applyFill="1" applyBorder="1" applyAlignment="1">
      <alignment horizontal="right" vertical="center"/>
    </xf>
    <xf numFmtId="0" fontId="27" fillId="12" borderId="3" xfId="0" applyFont="1" applyFill="1" applyBorder="1" applyAlignment="1">
      <alignment horizontal="left" vertical="center"/>
    </xf>
    <xf numFmtId="0" fontId="0" fillId="12" borderId="7" xfId="0" applyFill="1" applyBorder="1" applyAlignment="1"/>
    <xf numFmtId="0" fontId="0" fillId="12" borderId="8" xfId="0" applyFill="1" applyBorder="1" applyAlignment="1"/>
    <xf numFmtId="0" fontId="27" fillId="12" borderId="3" xfId="0" applyFont="1" applyFill="1" applyBorder="1" applyAlignment="1">
      <alignment horizontal="center"/>
    </xf>
    <xf numFmtId="44" fontId="29" fillId="13" borderId="58" xfId="0" applyNumberFormat="1" applyFont="1" applyFill="1" applyBorder="1">
      <alignment vertical="center"/>
    </xf>
    <xf numFmtId="44" fontId="29" fillId="13" borderId="8" xfId="0" applyNumberFormat="1" applyFont="1" applyFill="1" applyBorder="1">
      <alignment vertical="center"/>
    </xf>
    <xf numFmtId="0" fontId="27" fillId="12" borderId="7" xfId="0" applyFont="1" applyFill="1" applyBorder="1" applyAlignment="1">
      <alignment horizontal="center" vertical="center"/>
    </xf>
    <xf numFmtId="0" fontId="27" fillId="12" borderId="7" xfId="0" applyFont="1" applyFill="1" applyBorder="1" applyAlignment="1">
      <alignment horizontal="center" vertical="center"/>
    </xf>
    <xf numFmtId="0" fontId="27" fillId="12" borderId="8" xfId="0" applyFont="1" applyFill="1" applyBorder="1" applyAlignment="1">
      <alignment horizontal="center" vertical="center"/>
    </xf>
    <xf numFmtId="0" fontId="30" fillId="12" borderId="21" xfId="0" applyFont="1" applyFill="1" applyBorder="1" applyAlignment="1"/>
    <xf numFmtId="0" fontId="30" fillId="12" borderId="6" xfId="0" applyFont="1" applyFill="1" applyBorder="1" applyAlignment="1">
      <alignment horizontal="center" vertical="center"/>
    </xf>
    <xf numFmtId="0" fontId="30" fillId="12" borderId="0" xfId="0" applyFont="1" applyFill="1" applyAlignment="1"/>
    <xf numFmtId="44" fontId="31" fillId="12" borderId="6" xfId="0" applyNumberFormat="1" applyFont="1" applyFill="1" applyBorder="1" applyAlignment="1">
      <alignment horizontal="center"/>
    </xf>
    <xf numFmtId="44" fontId="31" fillId="12" borderId="31" xfId="0" applyNumberFormat="1" applyFont="1" applyFill="1" applyBorder="1" applyAlignment="1">
      <alignment horizontal="center"/>
    </xf>
    <xf numFmtId="0" fontId="30" fillId="12" borderId="0" xfId="0" applyFont="1" applyFill="1" applyAlignment="1">
      <alignment horizontal="center" vertical="center"/>
    </xf>
    <xf numFmtId="44" fontId="31" fillId="12" borderId="0" xfId="0" applyNumberFormat="1" applyFont="1" applyFill="1" applyAlignment="1">
      <alignment horizontal="center"/>
    </xf>
    <xf numFmtId="44" fontId="31" fillId="12" borderId="32" xfId="0" applyNumberFormat="1" applyFont="1" applyFill="1" applyBorder="1" applyAlignment="1">
      <alignment horizontal="center"/>
    </xf>
    <xf numFmtId="0" fontId="30" fillId="12" borderId="1" xfId="0" applyFont="1" applyFill="1" applyBorder="1" applyAlignment="1"/>
    <xf numFmtId="0" fontId="30" fillId="12" borderId="2" xfId="0" applyFont="1" applyFill="1" applyBorder="1" applyAlignment="1">
      <alignment horizontal="center" vertical="center"/>
    </xf>
    <xf numFmtId="0" fontId="30" fillId="12" borderId="2" xfId="0" applyFont="1" applyFill="1" applyBorder="1" applyAlignment="1"/>
    <xf numFmtId="44" fontId="31" fillId="12" borderId="2" xfId="0" applyNumberFormat="1" applyFont="1" applyFill="1" applyBorder="1" applyAlignment="1">
      <alignment horizontal="center"/>
    </xf>
    <xf numFmtId="44" fontId="31" fillId="12" borderId="18" xfId="0" applyNumberFormat="1" applyFont="1" applyFill="1" applyBorder="1" applyAlignment="1">
      <alignment horizontal="center"/>
    </xf>
    <xf numFmtId="0" fontId="30" fillId="0" borderId="21" xfId="0" applyFont="1" applyBorder="1" applyAlignment="1"/>
    <xf numFmtId="0" fontId="27" fillId="12" borderId="3" xfId="0" applyFont="1" applyFill="1" applyBorder="1" applyAlignment="1">
      <alignment horizontal="center"/>
    </xf>
    <xf numFmtId="0" fontId="27" fillId="12" borderId="60" xfId="0" applyFont="1" applyFill="1" applyBorder="1" applyAlignment="1">
      <alignment horizontal="center"/>
    </xf>
    <xf numFmtId="0" fontId="27" fillId="12" borderId="5" xfId="0" applyFont="1" applyFill="1" applyBorder="1" applyAlignment="1">
      <alignment horizontal="center" vertical="center"/>
    </xf>
    <xf numFmtId="0" fontId="0" fillId="0" borderId="2" xfId="0" applyBorder="1" applyAlignment="1"/>
    <xf numFmtId="0" fontId="30" fillId="12" borderId="6" xfId="0" applyFont="1" applyFill="1" applyBorder="1" applyAlignment="1">
      <alignment horizontal="center"/>
    </xf>
    <xf numFmtId="0" fontId="0" fillId="12" borderId="0" xfId="0" applyFill="1" applyAlignment="1"/>
    <xf numFmtId="44" fontId="30" fillId="12" borderId="6" xfId="0" applyNumberFormat="1" applyFont="1" applyFill="1" applyBorder="1" applyAlignment="1">
      <alignment horizontal="center"/>
    </xf>
    <xf numFmtId="44" fontId="30" fillId="12" borderId="31" xfId="0" applyNumberFormat="1" applyFont="1" applyFill="1" applyBorder="1" applyAlignment="1">
      <alignment horizontal="center"/>
    </xf>
    <xf numFmtId="0" fontId="30" fillId="12" borderId="0" xfId="0" applyFont="1" applyFill="1" applyAlignment="1">
      <alignment horizontal="center"/>
    </xf>
    <xf numFmtId="44" fontId="30" fillId="12" borderId="0" xfId="0" applyNumberFormat="1" applyFont="1" applyFill="1" applyAlignment="1">
      <alignment horizontal="center"/>
    </xf>
    <xf numFmtId="44" fontId="30" fillId="12" borderId="32" xfId="0" applyNumberFormat="1" applyFont="1" applyFill="1" applyBorder="1" applyAlignment="1">
      <alignment horizontal="center"/>
    </xf>
    <xf numFmtId="0" fontId="30" fillId="12" borderId="2" xfId="0" applyFont="1" applyFill="1" applyBorder="1" applyAlignment="1">
      <alignment horizontal="center"/>
    </xf>
    <xf numFmtId="0" fontId="0" fillId="12" borderId="2" xfId="0" applyFill="1" applyBorder="1" applyAlignment="1"/>
    <xf numFmtId="44" fontId="30" fillId="12" borderId="2" xfId="0" applyNumberFormat="1" applyFont="1" applyFill="1" applyBorder="1" applyAlignment="1">
      <alignment horizontal="center"/>
    </xf>
    <xf numFmtId="44" fontId="30" fillId="12" borderId="18" xfId="0" applyNumberFormat="1" applyFont="1" applyFill="1" applyBorder="1" applyAlignment="1">
      <alignment horizontal="center"/>
    </xf>
    <xf numFmtId="0" fontId="27" fillId="12" borderId="3" xfId="0" applyFont="1" applyFill="1" applyBorder="1" applyAlignment="1">
      <alignment horizontal="center" vertical="center"/>
    </xf>
    <xf numFmtId="0" fontId="27" fillId="12" borderId="60" xfId="0" applyFont="1" applyFill="1" applyBorder="1" applyAlignment="1">
      <alignment horizontal="center" vertical="center"/>
    </xf>
    <xf numFmtId="0" fontId="27" fillId="12" borderId="3" xfId="0" applyFont="1" applyFill="1" applyBorder="1" applyAlignment="1">
      <alignment horizontal="left" vertical="center"/>
    </xf>
    <xf numFmtId="0" fontId="27" fillId="12" borderId="7" xfId="0" applyFont="1" applyFill="1" applyBorder="1" applyAlignment="1">
      <alignment horizontal="left" vertical="center"/>
    </xf>
    <xf numFmtId="0" fontId="27" fillId="12" borderId="8" xfId="0" applyFont="1" applyFill="1" applyBorder="1" applyAlignment="1">
      <alignment horizontal="left" vertical="center"/>
    </xf>
    <xf numFmtId="0" fontId="27" fillId="12" borderId="3" xfId="0" applyFont="1" applyFill="1" applyBorder="1" applyAlignment="1">
      <alignment horizontal="center" vertical="center"/>
    </xf>
    <xf numFmtId="44" fontId="29" fillId="12" borderId="58" xfId="0" applyNumberFormat="1" applyFont="1" applyFill="1" applyBorder="1">
      <alignment vertical="center"/>
    </xf>
    <xf numFmtId="44" fontId="29" fillId="12" borderId="58" xfId="0" applyNumberFormat="1" applyFont="1" applyFill="1" applyBorder="1" applyAlignment="1">
      <alignment horizontal="center" vertical="center"/>
    </xf>
    <xf numFmtId="44" fontId="29" fillId="12" borderId="7" xfId="0" applyNumberFormat="1" applyFont="1" applyFill="1" applyBorder="1" applyAlignment="1">
      <alignment horizontal="center" vertical="center"/>
    </xf>
    <xf numFmtId="44" fontId="29" fillId="12" borderId="57" xfId="0" applyNumberFormat="1" applyFont="1" applyFill="1" applyBorder="1" applyAlignment="1">
      <alignment horizontal="center" vertical="center"/>
    </xf>
    <xf numFmtId="0" fontId="30" fillId="12" borderId="3" xfId="0" applyFont="1" applyFill="1" applyBorder="1" applyAlignment="1">
      <alignment horizontal="center" vertical="center"/>
    </xf>
    <xf numFmtId="0" fontId="30" fillId="12" borderId="3" xfId="0" applyFont="1" applyFill="1" applyBorder="1" applyAlignment="1">
      <alignment horizontal="center" vertical="center"/>
    </xf>
    <xf numFmtId="0" fontId="30" fillId="12" borderId="8" xfId="0" applyFont="1" applyFill="1" applyBorder="1" applyAlignment="1">
      <alignment horizontal="center" vertical="center"/>
    </xf>
    <xf numFmtId="0" fontId="30" fillId="12" borderId="30" xfId="0" applyFont="1" applyFill="1" applyBorder="1" applyAlignment="1"/>
    <xf numFmtId="44" fontId="30" fillId="12" borderId="30" xfId="0" applyNumberFormat="1" applyFont="1" applyFill="1" applyBorder="1" applyAlignment="1">
      <alignment horizontal="center"/>
    </xf>
    <xf numFmtId="44" fontId="30" fillId="12" borderId="30" xfId="0" applyNumberFormat="1" applyFont="1" applyFill="1" applyBorder="1" applyAlignment="1">
      <alignment horizontal="right"/>
    </xf>
    <xf numFmtId="44" fontId="30" fillId="12" borderId="30" xfId="0" applyNumberFormat="1" applyFont="1" applyFill="1" applyBorder="1" applyAlignment="1">
      <alignment horizontal="right"/>
    </xf>
    <xf numFmtId="44" fontId="30" fillId="12" borderId="31" xfId="0" applyNumberFormat="1" applyFont="1" applyFill="1" applyBorder="1" applyAlignment="1">
      <alignment horizontal="right"/>
    </xf>
    <xf numFmtId="44" fontId="30" fillId="12" borderId="1" xfId="0" applyNumberFormat="1" applyFont="1" applyFill="1" applyBorder="1" applyAlignment="1">
      <alignment horizontal="center"/>
    </xf>
    <xf numFmtId="44" fontId="30" fillId="12" borderId="1" xfId="0" applyNumberFormat="1" applyFont="1" applyFill="1" applyBorder="1" applyAlignment="1">
      <alignment horizontal="right"/>
    </xf>
    <xf numFmtId="44" fontId="30" fillId="12" borderId="1" xfId="0" applyNumberFormat="1" applyFont="1" applyFill="1" applyBorder="1" applyAlignment="1">
      <alignment horizontal="right"/>
    </xf>
    <xf numFmtId="44" fontId="30" fillId="12" borderId="18" xfId="0" applyNumberFormat="1" applyFont="1" applyFill="1" applyBorder="1" applyAlignment="1">
      <alignment horizontal="right"/>
    </xf>
    <xf numFmtId="0" fontId="0" fillId="0" borderId="0" xfId="0" applyAlignment="1"/>
    <xf numFmtId="0" fontId="33" fillId="12" borderId="3" xfId="0" applyFont="1" applyFill="1" applyBorder="1">
      <alignment vertical="center"/>
    </xf>
    <xf numFmtId="0" fontId="0" fillId="12" borderId="7" xfId="0" applyFill="1" applyBorder="1">
      <alignment vertical="center"/>
    </xf>
    <xf numFmtId="0" fontId="33" fillId="9" borderId="3" xfId="0" applyFont="1" applyFill="1" applyBorder="1">
      <alignment vertical="center"/>
    </xf>
    <xf numFmtId="0" fontId="0" fillId="9" borderId="7" xfId="0" applyFill="1" applyBorder="1">
      <alignment vertical="center"/>
    </xf>
    <xf numFmtId="0" fontId="0" fillId="9" borderId="7" xfId="0" applyFill="1" applyBorder="1" applyAlignment="1"/>
    <xf numFmtId="0" fontId="27" fillId="9" borderId="7" xfId="0" applyFont="1" applyFill="1" applyBorder="1" applyAlignment="1">
      <alignment horizontal="center" vertical="center"/>
    </xf>
  </cellXfs>
  <cellStyles count="4">
    <cellStyle name="Accent3" xfId="2" xr:uid="{00000000-0005-0000-0000-000002000000}"/>
    <cellStyle name="Check Cell" xfId="3" xr:uid="{00000000-0005-0000-0000-000003000000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359922</xdr:colOff>
      <xdr:row>0</xdr:row>
      <xdr:rowOff>113816</xdr:rowOff>
    </xdr:from>
    <xdr:to>
      <xdr:col>4</xdr:col>
      <xdr:colOff>461039</xdr:colOff>
      <xdr:row>8</xdr:row>
      <xdr:rowOff>152325</xdr:rowOff>
    </xdr:to>
    <xdr:pic>
      <xdr:nvPicPr>
        <xdr:cNvPr id="2" name="Picture 1" descr="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210442</xdr:colOff>
      <xdr:row>0</xdr:row>
      <xdr:rowOff>113816</xdr:rowOff>
    </xdr:from>
    <xdr:to>
      <xdr:col>3</xdr:col>
      <xdr:colOff>2075167</xdr:colOff>
      <xdr:row>8</xdr:row>
      <xdr:rowOff>152325</xdr:rowOff>
    </xdr:to>
    <xdr:pic>
      <xdr:nvPicPr>
        <xdr:cNvPr id="2" name="Picture 2" descr="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3"/>
  <sheetViews>
    <sheetView topLeftCell="A10" workbookViewId="0">
      <selection activeCell="C24" sqref="C24"/>
    </sheetView>
  </sheetViews>
  <sheetFormatPr defaultColWidth="9" defaultRowHeight="17.25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customWidth="1"/>
    <col min="10" max="10" width="9.140625" style="1" customWidth="1"/>
    <col min="11" max="11" width="17.140625" style="1" customWidth="1"/>
    <col min="12" max="12" width="19.28515625" style="1" customWidth="1"/>
    <col min="13" max="13" width="11.140625" style="1" customWidth="1"/>
    <col min="14" max="14" width="9.140625" style="1" customWidth="1"/>
    <col min="15" max="15" width="16.140625" style="1" customWidth="1"/>
    <col min="16" max="17" width="9.140625" style="1" customWidth="1"/>
    <col min="18" max="18" width="25.42578125" style="1" customWidth="1"/>
    <col min="19" max="256" width="9.140625" style="1" customWidth="1"/>
  </cols>
  <sheetData>
    <row r="1" spans="1:11">
      <c r="A1" s="2"/>
      <c r="B1" s="2"/>
      <c r="C1" s="2"/>
      <c r="D1" s="2"/>
      <c r="E1" s="2"/>
      <c r="F1" s="2"/>
      <c r="G1" s="2"/>
    </row>
    <row r="2" spans="1:11">
      <c r="A2" s="2"/>
      <c r="B2" s="2"/>
      <c r="C2" s="2"/>
      <c r="D2" s="2"/>
      <c r="E2" s="2"/>
      <c r="F2" s="2"/>
      <c r="G2" s="2"/>
    </row>
    <row r="3" spans="1:11">
      <c r="A3" s="2"/>
      <c r="B3" s="2"/>
      <c r="C3" s="2"/>
      <c r="D3" s="2"/>
      <c r="E3" s="2"/>
      <c r="F3" s="2"/>
      <c r="G3" s="2"/>
    </row>
    <row r="4" spans="1:11">
      <c r="A4" s="2"/>
      <c r="B4" s="2"/>
      <c r="C4" s="2"/>
      <c r="D4" s="2"/>
      <c r="E4" s="2"/>
      <c r="F4" s="2"/>
      <c r="G4" s="2"/>
    </row>
    <row r="5" spans="1:11">
      <c r="A5" s="2"/>
      <c r="B5" s="2"/>
      <c r="C5" s="2"/>
      <c r="D5" s="2"/>
      <c r="E5" s="2"/>
      <c r="F5" s="2"/>
      <c r="G5" s="2"/>
    </row>
    <row r="6" spans="1:11">
      <c r="A6" s="2"/>
      <c r="B6" s="2"/>
      <c r="C6" s="2"/>
      <c r="D6" s="2"/>
      <c r="E6" s="2"/>
      <c r="F6" s="2"/>
      <c r="G6" s="2"/>
    </row>
    <row r="7" spans="1:11">
      <c r="A7" s="2"/>
      <c r="B7" s="2"/>
      <c r="C7" s="2"/>
      <c r="D7" s="2"/>
      <c r="E7" s="2"/>
      <c r="F7" s="2"/>
      <c r="G7" s="2"/>
    </row>
    <row r="8" spans="1:11">
      <c r="A8" s="2"/>
      <c r="B8" s="2"/>
      <c r="C8" s="2"/>
      <c r="D8" s="2"/>
      <c r="E8" s="2"/>
      <c r="F8" s="2"/>
      <c r="G8" s="2"/>
    </row>
    <row r="9" spans="1:11">
      <c r="A9" s="2"/>
      <c r="B9" s="2"/>
      <c r="C9" s="2"/>
      <c r="D9" s="2"/>
      <c r="E9" s="2"/>
      <c r="F9" s="2"/>
      <c r="G9" s="2"/>
    </row>
    <row r="10" spans="1:11">
      <c r="A10" s="2"/>
      <c r="B10" s="2"/>
      <c r="C10" s="2"/>
      <c r="D10" s="2"/>
      <c r="E10" s="2"/>
      <c r="F10" s="2"/>
      <c r="G10" s="2"/>
    </row>
    <row r="11" spans="1:11" ht="20.25">
      <c r="A11" s="248" t="s">
        <v>7</v>
      </c>
      <c r="B11" s="249"/>
      <c r="C11" s="249"/>
      <c r="D11" s="249"/>
      <c r="E11" s="249"/>
      <c r="F11" s="249"/>
      <c r="G11" s="249"/>
      <c r="I11" s="3"/>
    </row>
    <row r="12" spans="1:11" ht="18.75" customHeight="1">
      <c r="A12" s="4" t="s">
        <v>72</v>
      </c>
      <c r="B12" s="5" t="s">
        <v>1</v>
      </c>
      <c r="C12" s="6" t="s">
        <v>0</v>
      </c>
      <c r="D12" s="7" t="s">
        <v>90</v>
      </c>
      <c r="E12" s="251" t="s">
        <v>11</v>
      </c>
      <c r="F12" s="251"/>
      <c r="G12" s="8" t="s">
        <v>4</v>
      </c>
    </row>
    <row r="13" spans="1:11">
      <c r="A13" s="9">
        <v>1</v>
      </c>
      <c r="B13" s="10" t="s">
        <v>5</v>
      </c>
      <c r="C13" s="11" t="s">
        <v>2</v>
      </c>
      <c r="D13" s="12">
        <v>40870</v>
      </c>
      <c r="E13" s="13">
        <v>0.15</v>
      </c>
      <c r="F13" s="12">
        <f>D13*E13</f>
        <v>6130.5</v>
      </c>
      <c r="G13" s="14">
        <f>D13+F13</f>
        <v>47000.5</v>
      </c>
      <c r="H13" s="11"/>
      <c r="I13" s="12"/>
    </row>
    <row r="14" spans="1:11">
      <c r="A14" s="9">
        <v>2</v>
      </c>
      <c r="B14" s="15" t="s">
        <v>6</v>
      </c>
      <c r="C14" s="11" t="s">
        <v>2</v>
      </c>
      <c r="D14" s="16">
        <v>38000</v>
      </c>
      <c r="E14" s="13">
        <v>0.15</v>
      </c>
      <c r="F14" s="12">
        <f>D14*E14</f>
        <v>5700</v>
      </c>
      <c r="G14" s="12">
        <f>D14+F14</f>
        <v>43700</v>
      </c>
      <c r="H14" s="11"/>
      <c r="I14" s="11"/>
    </row>
    <row r="15" spans="1:11">
      <c r="A15" s="9">
        <v>3</v>
      </c>
      <c r="B15" s="11" t="s">
        <v>77</v>
      </c>
      <c r="C15" s="11" t="s">
        <v>76</v>
      </c>
      <c r="D15" s="16">
        <v>24000</v>
      </c>
      <c r="E15" s="13">
        <v>0.15</v>
      </c>
      <c r="F15" s="12">
        <f>D15*E15</f>
        <v>3600</v>
      </c>
      <c r="G15" s="12">
        <f>D15+F15</f>
        <v>27600</v>
      </c>
      <c r="H15" s="11" t="s">
        <v>78</v>
      </c>
      <c r="I15" s="11"/>
    </row>
    <row r="16" spans="1:11">
      <c r="A16" s="17"/>
      <c r="K16"/>
    </row>
    <row r="17" spans="1:12" ht="20.25">
      <c r="A17" s="250" t="s">
        <v>8</v>
      </c>
      <c r="B17" s="250"/>
      <c r="C17" s="250"/>
      <c r="D17" s="250"/>
      <c r="E17" s="250"/>
      <c r="F17" s="250"/>
      <c r="G17" s="250"/>
      <c r="K17"/>
    </row>
    <row r="18" spans="1:12">
      <c r="A18" s="18" t="s">
        <v>72</v>
      </c>
      <c r="B18" s="19" t="s">
        <v>9</v>
      </c>
      <c r="C18" s="20" t="s">
        <v>12</v>
      </c>
      <c r="D18" s="19" t="s">
        <v>10</v>
      </c>
      <c r="E18" s="20" t="s">
        <v>73</v>
      </c>
      <c r="F18" s="21" t="s">
        <v>64</v>
      </c>
      <c r="G18" s="22" t="s">
        <v>13</v>
      </c>
      <c r="H18" s="23" t="s">
        <v>65</v>
      </c>
      <c r="I18" s="24"/>
      <c r="J18" s="25"/>
      <c r="K18"/>
    </row>
    <row r="19" spans="1:12">
      <c r="A19" s="9">
        <v>1</v>
      </c>
      <c r="B19" s="15">
        <v>21</v>
      </c>
      <c r="C19" s="16">
        <f>G13/B19</f>
        <v>2238.1190476190477</v>
      </c>
      <c r="D19" s="15">
        <v>8</v>
      </c>
      <c r="E19" s="26">
        <f>C19/D19</f>
        <v>279.76488095238096</v>
      </c>
      <c r="F19" s="15">
        <v>2.4</v>
      </c>
      <c r="G19" s="27">
        <f>ROUNDUP(E19*F19,-0.5)</f>
        <v>672</v>
      </c>
      <c r="H19" s="247">
        <f>G19*D19</f>
        <v>5376</v>
      </c>
      <c r="I19" s="247"/>
      <c r="J19" s="247"/>
      <c r="K19" s="11" t="s">
        <v>75</v>
      </c>
      <c r="L19" s="11" t="s">
        <v>2</v>
      </c>
    </row>
    <row r="20" spans="1:12">
      <c r="A20" s="9">
        <v>2</v>
      </c>
      <c r="B20" s="15">
        <v>21</v>
      </c>
      <c r="C20" s="16">
        <f>G14/B20</f>
        <v>2080.9523809523807</v>
      </c>
      <c r="D20" s="15">
        <v>8</v>
      </c>
      <c r="E20" s="26">
        <f>C20/D20</f>
        <v>260.11904761904759</v>
      </c>
      <c r="F20" s="15">
        <v>2.4</v>
      </c>
      <c r="G20" s="27">
        <f>ROUNDUP(E20*F20,-0.5)</f>
        <v>625</v>
      </c>
      <c r="H20" s="246">
        <f>G20*D20</f>
        <v>5000</v>
      </c>
      <c r="I20" s="246"/>
      <c r="J20" s="246"/>
      <c r="K20" s="11" t="s">
        <v>67</v>
      </c>
      <c r="L20" s="11" t="s">
        <v>2</v>
      </c>
    </row>
    <row r="21" spans="1:12">
      <c r="A21" s="9">
        <v>3</v>
      </c>
      <c r="B21" s="11">
        <v>21</v>
      </c>
      <c r="C21" s="12">
        <f>G15/B21</f>
        <v>1314.2857142857142</v>
      </c>
      <c r="D21" s="15">
        <v>8</v>
      </c>
      <c r="E21" s="26">
        <f>C21/D21</f>
        <v>164.28571428571428</v>
      </c>
      <c r="F21" s="11">
        <v>2.4</v>
      </c>
      <c r="G21" s="27">
        <f>ROUNDUP(E21*F21,-0.5)</f>
        <v>395</v>
      </c>
      <c r="H21" s="246">
        <f>G21*D21</f>
        <v>3160</v>
      </c>
      <c r="I21" s="246"/>
      <c r="J21" s="246"/>
      <c r="K21" s="11" t="str">
        <f>B15</f>
        <v>Johan Hugo</v>
      </c>
      <c r="L21" s="11" t="s">
        <v>79</v>
      </c>
    </row>
    <row r="22" spans="1:12">
      <c r="A22" s="17"/>
      <c r="K22"/>
    </row>
    <row r="23" spans="1:12">
      <c r="A23" s="17"/>
      <c r="B23"/>
      <c r="C23"/>
      <c r="D23"/>
      <c r="E23"/>
      <c r="F23"/>
      <c r="G23"/>
      <c r="H23"/>
      <c r="I23"/>
      <c r="K23"/>
    </row>
    <row r="24" spans="1:12">
      <c r="A24" s="17"/>
      <c r="B24"/>
      <c r="C24"/>
      <c r="D24"/>
      <c r="E24"/>
      <c r="F24"/>
      <c r="G24"/>
      <c r="H24"/>
      <c r="I24"/>
    </row>
    <row r="25" spans="1:12">
      <c r="A25" s="17"/>
      <c r="B25"/>
      <c r="C25"/>
      <c r="D25"/>
      <c r="E25"/>
      <c r="F25"/>
      <c r="G25"/>
      <c r="H25"/>
      <c r="I25"/>
    </row>
    <row r="26" spans="1:12">
      <c r="A26" s="17"/>
      <c r="B26"/>
      <c r="C26"/>
      <c r="D26"/>
      <c r="E26"/>
      <c r="F26"/>
      <c r="G26"/>
      <c r="H26"/>
      <c r="I26"/>
    </row>
    <row r="27" spans="1:12">
      <c r="A27" s="17"/>
      <c r="B27"/>
      <c r="C27"/>
      <c r="D27"/>
      <c r="E27"/>
      <c r="F27"/>
      <c r="G27"/>
      <c r="H27"/>
      <c r="I27"/>
    </row>
    <row r="28" spans="1:12">
      <c r="A28" s="17"/>
      <c r="B28"/>
      <c r="C28"/>
      <c r="D28"/>
      <c r="E28"/>
      <c r="F28"/>
      <c r="G28"/>
      <c r="H28"/>
      <c r="I28"/>
    </row>
    <row r="29" spans="1:12">
      <c r="A29" s="17"/>
      <c r="B29"/>
      <c r="C29"/>
      <c r="D29"/>
      <c r="E29"/>
      <c r="F29" s="28"/>
      <c r="G29" s="28"/>
      <c r="H29"/>
      <c r="I29"/>
    </row>
    <row r="30" spans="1:12">
      <c r="A30" s="17"/>
      <c r="B30"/>
      <c r="C30"/>
      <c r="D30"/>
      <c r="E30"/>
      <c r="F30"/>
      <c r="G30"/>
      <c r="H30"/>
      <c r="I30"/>
    </row>
    <row r="31" spans="1:12">
      <c r="A31" s="17"/>
      <c r="B31"/>
      <c r="C31"/>
      <c r="D31"/>
      <c r="E31"/>
      <c r="F31"/>
      <c r="G31"/>
      <c r="H31"/>
      <c r="I31"/>
    </row>
    <row r="32" spans="1:12">
      <c r="B32"/>
      <c r="C32"/>
      <c r="D32"/>
      <c r="E32"/>
      <c r="F32"/>
      <c r="G32"/>
      <c r="H32"/>
      <c r="I32"/>
    </row>
    <row r="33" spans="2:9">
      <c r="B33"/>
      <c r="C33"/>
      <c r="D33"/>
      <c r="E33"/>
      <c r="F33"/>
      <c r="G33"/>
      <c r="H33"/>
      <c r="I33"/>
    </row>
    <row r="34" spans="2:9">
      <c r="B34"/>
      <c r="C34"/>
      <c r="D34"/>
      <c r="E34"/>
      <c r="F34"/>
      <c r="G34"/>
      <c r="H34"/>
      <c r="I34"/>
    </row>
    <row r="35" spans="2:9">
      <c r="B35"/>
      <c r="C35"/>
      <c r="D35"/>
      <c r="E35"/>
      <c r="F35"/>
      <c r="G35"/>
      <c r="H35"/>
      <c r="I35"/>
    </row>
    <row r="36" spans="2:9">
      <c r="B36"/>
      <c r="C36"/>
      <c r="D36"/>
      <c r="E36"/>
      <c r="F36"/>
      <c r="G36"/>
      <c r="H36"/>
      <c r="I36"/>
    </row>
    <row r="37" spans="2:9">
      <c r="B37"/>
      <c r="C37"/>
      <c r="D37"/>
      <c r="E37"/>
      <c r="F37"/>
      <c r="G37"/>
      <c r="H37"/>
      <c r="I37"/>
    </row>
    <row r="38" spans="2:9">
      <c r="B38"/>
      <c r="C38"/>
      <c r="D38"/>
      <c r="E38"/>
      <c r="F38"/>
      <c r="G38"/>
      <c r="H38"/>
      <c r="I38"/>
    </row>
    <row r="39" spans="2:9">
      <c r="B39"/>
      <c r="C39"/>
      <c r="D39"/>
      <c r="E39"/>
      <c r="F39"/>
      <c r="G39"/>
      <c r="H39"/>
      <c r="I39"/>
    </row>
    <row r="40" spans="2:9">
      <c r="B40"/>
      <c r="C40"/>
      <c r="D40"/>
      <c r="E40"/>
      <c r="F40"/>
      <c r="G40"/>
      <c r="H40"/>
      <c r="I40"/>
    </row>
    <row r="41" spans="2:9">
      <c r="B41"/>
      <c r="C41"/>
      <c r="D41"/>
      <c r="E41"/>
      <c r="F41"/>
      <c r="G41"/>
      <c r="H41"/>
      <c r="I41"/>
    </row>
    <row r="42" spans="2:9">
      <c r="B42"/>
      <c r="C42"/>
      <c r="D42"/>
      <c r="E42"/>
      <c r="F42"/>
      <c r="G42"/>
      <c r="H42"/>
      <c r="I42"/>
    </row>
    <row r="43" spans="2:9">
      <c r="B43"/>
      <c r="C43"/>
      <c r="D43"/>
      <c r="E43"/>
      <c r="F43"/>
      <c r="G43"/>
      <c r="H43"/>
      <c r="I43"/>
    </row>
  </sheetData>
  <mergeCells count="6">
    <mergeCell ref="H21:J21"/>
    <mergeCell ref="H19:J19"/>
    <mergeCell ref="H20:J20"/>
    <mergeCell ref="A11:G11"/>
    <mergeCell ref="A17:G17"/>
    <mergeCell ref="E12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B278-590E-4D28-8723-C00616780E1C}">
  <dimension ref="A1:F52"/>
  <sheetViews>
    <sheetView tabSelected="1" topLeftCell="A32" workbookViewId="0">
      <selection activeCell="K19" sqref="K19"/>
    </sheetView>
  </sheetViews>
  <sheetFormatPr defaultRowHeight="15"/>
  <cols>
    <col min="1" max="1" width="48.7109375" bestFit="1" customWidth="1"/>
    <col min="2" max="2" width="23" bestFit="1" customWidth="1"/>
    <col min="4" max="4" width="28.5703125" bestFit="1" customWidth="1"/>
    <col min="5" max="5" width="6.42578125" bestFit="1" customWidth="1"/>
    <col min="6" max="6" width="17.85546875" customWidth="1"/>
  </cols>
  <sheetData>
    <row r="1" spans="1:6" ht="18.75" thickBot="1">
      <c r="A1" s="297" t="s">
        <v>143</v>
      </c>
      <c r="B1" s="298"/>
      <c r="C1" s="299"/>
      <c r="D1" s="300" t="s">
        <v>108</v>
      </c>
      <c r="E1" s="301">
        <v>5500</v>
      </c>
      <c r="F1" s="302"/>
    </row>
    <row r="2" spans="1:6" ht="15.75" thickBot="1">
      <c r="A2" s="297" t="s">
        <v>119</v>
      </c>
      <c r="B2" s="303" t="s">
        <v>94</v>
      </c>
      <c r="C2" s="303"/>
      <c r="D2" s="304" t="s">
        <v>115</v>
      </c>
      <c r="E2" s="303" t="s">
        <v>95</v>
      </c>
      <c r="F2" s="305"/>
    </row>
    <row r="3" spans="1:6" ht="17.25">
      <c r="A3" s="306" t="s">
        <v>97</v>
      </c>
      <c r="B3" s="307"/>
      <c r="C3" s="307">
        <v>57</v>
      </c>
      <c r="D3" s="308" t="s">
        <v>98</v>
      </c>
      <c r="E3" s="309">
        <f>C3*$E$1</f>
        <v>313500</v>
      </c>
      <c r="F3" s="310"/>
    </row>
    <row r="4" spans="1:6" ht="18" thickBot="1">
      <c r="A4" s="311" t="s">
        <v>99</v>
      </c>
      <c r="B4" s="312"/>
      <c r="C4" s="313">
        <v>67</v>
      </c>
      <c r="D4" s="314" t="s">
        <v>100</v>
      </c>
      <c r="E4" s="315">
        <f>C4*$E$1</f>
        <v>368500</v>
      </c>
      <c r="F4" s="316"/>
    </row>
    <row r="5" spans="1:6" ht="18.75" thickBot="1">
      <c r="B5" s="317" t="s">
        <v>144</v>
      </c>
      <c r="C5" s="318"/>
      <c r="D5" s="319" t="s">
        <v>109</v>
      </c>
      <c r="E5" s="301">
        <f>E3+E4</f>
        <v>682000</v>
      </c>
      <c r="F5" s="302"/>
    </row>
    <row r="6" spans="1:6" ht="15.75" thickBot="1">
      <c r="D6" s="320"/>
      <c r="F6" s="320"/>
    </row>
    <row r="7" spans="1:6" ht="15.75" thickBot="1">
      <c r="A7" s="297" t="s">
        <v>145</v>
      </c>
      <c r="B7" s="303" t="s">
        <v>93</v>
      </c>
      <c r="C7" s="303"/>
      <c r="D7" s="298"/>
      <c r="E7" s="303" t="s">
        <v>114</v>
      </c>
      <c r="F7" s="305"/>
    </row>
    <row r="8" spans="1:6" ht="17.25">
      <c r="A8" s="321" t="s">
        <v>97</v>
      </c>
      <c r="B8" s="322">
        <v>28</v>
      </c>
      <c r="C8" s="322"/>
      <c r="D8" s="323"/>
      <c r="E8" s="324">
        <f>E3*B8</f>
        <v>8778000</v>
      </c>
      <c r="F8" s="325"/>
    </row>
    <row r="9" spans="1:6" ht="18" thickBot="1">
      <c r="A9" s="311" t="s">
        <v>103</v>
      </c>
      <c r="B9" s="326">
        <v>30</v>
      </c>
      <c r="C9" s="326"/>
      <c r="D9" s="327"/>
      <c r="E9" s="328">
        <f>E4*B9</f>
        <v>11055000</v>
      </c>
      <c r="F9" s="329"/>
    </row>
    <row r="10" spans="1:6" ht="18.75" thickBot="1">
      <c r="A10" s="330"/>
      <c r="B10" s="331" t="str">
        <f>CONCATENATE(SUM(B8:B9)," UNITS")</f>
        <v>58 UNITS</v>
      </c>
      <c r="C10" s="332"/>
      <c r="D10" s="319" t="s">
        <v>109</v>
      </c>
      <c r="E10" s="301">
        <f>SUM(E8:F9)</f>
        <v>19833000</v>
      </c>
      <c r="F10" s="302"/>
    </row>
    <row r="11" spans="1:6" ht="15.75" thickBot="1">
      <c r="A11" s="333"/>
      <c r="B11" s="333"/>
      <c r="C11" s="333"/>
      <c r="D11" s="333"/>
      <c r="E11" s="333"/>
      <c r="F11" s="333"/>
    </row>
    <row r="12" spans="1:6" ht="15.75" thickBot="1">
      <c r="A12" s="334" t="s">
        <v>146</v>
      </c>
      <c r="B12" s="335"/>
      <c r="C12" s="335"/>
      <c r="D12" s="335"/>
      <c r="E12" s="335"/>
      <c r="F12" s="336"/>
    </row>
    <row r="13" spans="1:6" ht="18" thickBot="1">
      <c r="A13" s="337" t="s">
        <v>119</v>
      </c>
      <c r="B13" s="338" t="s">
        <v>145</v>
      </c>
      <c r="C13" s="339"/>
      <c r="D13" s="340"/>
      <c r="E13" s="331" t="s">
        <v>3</v>
      </c>
      <c r="F13" s="305"/>
    </row>
    <row r="14" spans="1:6" ht="18.75" thickBot="1">
      <c r="A14" s="341">
        <v>68282.55</v>
      </c>
      <c r="B14" s="342">
        <f>E14-A14</f>
        <v>527807.87</v>
      </c>
      <c r="C14" s="343"/>
      <c r="D14" s="344"/>
      <c r="E14" s="301">
        <v>596090.42000000004</v>
      </c>
      <c r="F14" s="302"/>
    </row>
    <row r="15" spans="1:6" ht="15.75" thickBot="1">
      <c r="A15" s="333"/>
      <c r="B15" s="333"/>
      <c r="C15" s="333"/>
      <c r="D15" s="333"/>
      <c r="E15" s="333"/>
      <c r="F15" s="333"/>
    </row>
    <row r="16" spans="1:6" ht="18" thickBot="1">
      <c r="A16" s="337" t="s">
        <v>147</v>
      </c>
      <c r="B16" s="338" t="s">
        <v>119</v>
      </c>
      <c r="C16" s="340"/>
      <c r="D16" s="337" t="s">
        <v>145</v>
      </c>
      <c r="E16" s="338" t="s">
        <v>3</v>
      </c>
      <c r="F16" s="340"/>
    </row>
    <row r="17" spans="1:6" ht="17.25">
      <c r="A17" s="321" t="s">
        <v>148</v>
      </c>
      <c r="B17" s="345">
        <f>A14*(0.1*(10/3)*2)</f>
        <v>45521.700000000004</v>
      </c>
      <c r="C17" s="325"/>
      <c r="D17" s="346">
        <f>B14*(0.1*(10/3)*2)</f>
        <v>351871.91333333339</v>
      </c>
      <c r="E17" s="347">
        <f>SUM(A17:D17)</f>
        <v>397393.6133333334</v>
      </c>
      <c r="F17" s="348"/>
    </row>
    <row r="18" spans="1:6" ht="18" thickBot="1">
      <c r="A18" s="311" t="s">
        <v>149</v>
      </c>
      <c r="B18" s="349">
        <f>A14*(0.1*(10/3))</f>
        <v>22760.850000000002</v>
      </c>
      <c r="C18" s="329"/>
      <c r="D18" s="350">
        <f>B14*(0.1*(10/3))</f>
        <v>175935.95666666669</v>
      </c>
      <c r="E18" s="351">
        <f>SUM(B18:D18)</f>
        <v>198696.8066666667</v>
      </c>
      <c r="F18" s="352"/>
    </row>
    <row r="19" spans="1:6" ht="18.75" thickBot="1">
      <c r="A19" s="333"/>
      <c r="B19" s="333"/>
      <c r="C19" s="333"/>
      <c r="D19" s="353" t="s">
        <v>150</v>
      </c>
      <c r="E19" s="354">
        <f>SUM(E17:F18)</f>
        <v>596090.42000000016</v>
      </c>
      <c r="F19" s="355"/>
    </row>
    <row r="20" spans="1:6" ht="15.75" thickBot="1">
      <c r="A20" s="333"/>
      <c r="B20" s="333"/>
      <c r="C20" s="333"/>
    </row>
    <row r="21" spans="1:6" ht="18.75" thickBot="1">
      <c r="A21" s="356" t="s">
        <v>151</v>
      </c>
      <c r="B21" s="357"/>
      <c r="C21" s="358"/>
      <c r="D21" s="359" t="s">
        <v>108</v>
      </c>
      <c r="E21" s="360">
        <v>5500</v>
      </c>
      <c r="F21" s="361"/>
    </row>
    <row r="22" spans="1:6" ht="15.75" thickBot="1">
      <c r="A22" s="356" t="s">
        <v>119</v>
      </c>
      <c r="B22" s="362" t="s">
        <v>94</v>
      </c>
      <c r="C22" s="362"/>
      <c r="D22" s="363" t="s">
        <v>115</v>
      </c>
      <c r="E22" s="362" t="s">
        <v>95</v>
      </c>
      <c r="F22" s="364"/>
    </row>
    <row r="23" spans="1:6" ht="17.25">
      <c r="A23" s="365" t="s">
        <v>97</v>
      </c>
      <c r="B23" s="366">
        <v>39</v>
      </c>
      <c r="C23" s="366"/>
      <c r="D23" s="367" t="s">
        <v>102</v>
      </c>
      <c r="E23" s="368">
        <f>B23*$E$21</f>
        <v>214500</v>
      </c>
      <c r="F23" s="369"/>
    </row>
    <row r="24" spans="1:6" ht="17.25">
      <c r="A24" s="365" t="s">
        <v>103</v>
      </c>
      <c r="B24" s="370">
        <v>52</v>
      </c>
      <c r="C24" s="370"/>
      <c r="D24" s="367" t="s">
        <v>104</v>
      </c>
      <c r="E24" s="371">
        <f>B24*$E$21</f>
        <v>286000</v>
      </c>
      <c r="F24" s="372"/>
    </row>
    <row r="25" spans="1:6" ht="17.25">
      <c r="A25" s="365" t="s">
        <v>105</v>
      </c>
      <c r="B25" s="370">
        <v>48</v>
      </c>
      <c r="C25" s="370"/>
      <c r="D25" s="367" t="s">
        <v>104</v>
      </c>
      <c r="E25" s="371">
        <f>B25*$E$21</f>
        <v>264000</v>
      </c>
      <c r="F25" s="372"/>
    </row>
    <row r="26" spans="1:6" ht="17.25">
      <c r="A26" s="365" t="s">
        <v>106</v>
      </c>
      <c r="B26" s="370">
        <v>62</v>
      </c>
      <c r="C26" s="370"/>
      <c r="D26" s="367" t="s">
        <v>104</v>
      </c>
      <c r="E26" s="371">
        <f>B26*$E$21</f>
        <v>341000</v>
      </c>
      <c r="F26" s="372"/>
    </row>
    <row r="27" spans="1:6" ht="18" thickBot="1">
      <c r="A27" s="373" t="s">
        <v>107</v>
      </c>
      <c r="B27" s="374">
        <v>49</v>
      </c>
      <c r="C27" s="374"/>
      <c r="D27" s="375" t="s">
        <v>104</v>
      </c>
      <c r="E27" s="376">
        <f>B27*$E$21</f>
        <v>269500</v>
      </c>
      <c r="F27" s="377"/>
    </row>
    <row r="28" spans="1:6" ht="18.75" thickBot="1">
      <c r="A28" s="378"/>
      <c r="B28" s="379" t="s">
        <v>144</v>
      </c>
      <c r="C28" s="380"/>
      <c r="D28" s="381" t="s">
        <v>109</v>
      </c>
      <c r="E28" s="360">
        <f>SUM(E23:E27)</f>
        <v>1375000</v>
      </c>
      <c r="F28" s="361"/>
    </row>
    <row r="29" spans="1:6" ht="15.75" thickBot="1">
      <c r="A29" s="382"/>
      <c r="B29" s="382"/>
      <c r="C29" s="382"/>
      <c r="D29" s="382"/>
      <c r="E29" s="382"/>
      <c r="F29" s="382"/>
    </row>
    <row r="30" spans="1:6" ht="15.75" thickBot="1">
      <c r="A30" s="356" t="s">
        <v>145</v>
      </c>
      <c r="B30" s="362" t="s">
        <v>93</v>
      </c>
      <c r="C30" s="362"/>
      <c r="D30" s="357"/>
      <c r="E30" s="362" t="s">
        <v>114</v>
      </c>
      <c r="F30" s="364"/>
    </row>
    <row r="31" spans="1:6" ht="17.25">
      <c r="A31" s="365" t="s">
        <v>97</v>
      </c>
      <c r="B31" s="383">
        <v>37</v>
      </c>
      <c r="C31" s="383"/>
      <c r="D31" s="384"/>
      <c r="E31" s="385">
        <f>E23*B31</f>
        <v>7936500</v>
      </c>
      <c r="F31" s="386"/>
    </row>
    <row r="32" spans="1:6" ht="17.25">
      <c r="A32" s="365" t="s">
        <v>103</v>
      </c>
      <c r="B32" s="387">
        <v>28</v>
      </c>
      <c r="C32" s="387"/>
      <c r="D32" s="384"/>
      <c r="E32" s="388">
        <f t="shared" ref="E32:E35" si="0">E24*B32</f>
        <v>8008000</v>
      </c>
      <c r="F32" s="389"/>
    </row>
    <row r="33" spans="1:6" ht="17.25">
      <c r="A33" s="365" t="s">
        <v>105</v>
      </c>
      <c r="B33" s="387">
        <v>28</v>
      </c>
      <c r="C33" s="387"/>
      <c r="D33" s="384"/>
      <c r="E33" s="388">
        <f t="shared" si="0"/>
        <v>7392000</v>
      </c>
      <c r="F33" s="389"/>
    </row>
    <row r="34" spans="1:6" ht="17.25">
      <c r="A34" s="365" t="s">
        <v>106</v>
      </c>
      <c r="B34" s="387">
        <v>21</v>
      </c>
      <c r="C34" s="387"/>
      <c r="D34" s="384"/>
      <c r="E34" s="388">
        <f t="shared" si="0"/>
        <v>7161000</v>
      </c>
      <c r="F34" s="389"/>
    </row>
    <row r="35" spans="1:6" ht="18" thickBot="1">
      <c r="A35" s="373" t="s">
        <v>107</v>
      </c>
      <c r="B35" s="390">
        <v>21</v>
      </c>
      <c r="C35" s="390"/>
      <c r="D35" s="391"/>
      <c r="E35" s="392">
        <f t="shared" si="0"/>
        <v>5659500</v>
      </c>
      <c r="F35" s="393"/>
    </row>
    <row r="36" spans="1:6" ht="18.75" thickBot="1">
      <c r="A36" s="330"/>
      <c r="B36" s="394" t="str">
        <f>CONCATENATE(SUM(B31:B35)," UNITS")</f>
        <v>135 UNITS</v>
      </c>
      <c r="C36" s="395"/>
      <c r="D36" s="381" t="s">
        <v>109</v>
      </c>
      <c r="E36" s="360">
        <f>SUM(E31:F35)</f>
        <v>36157000</v>
      </c>
      <c r="F36" s="361"/>
    </row>
    <row r="37" spans="1:6" ht="15.75" thickBot="1">
      <c r="A37" s="333"/>
      <c r="B37" s="333"/>
      <c r="C37" s="333"/>
      <c r="D37" s="333"/>
      <c r="E37" s="333"/>
      <c r="F37" s="333"/>
    </row>
    <row r="38" spans="1:6" ht="15.75" thickBot="1">
      <c r="A38" s="396" t="s">
        <v>146</v>
      </c>
      <c r="B38" s="397"/>
      <c r="C38" s="397"/>
      <c r="D38" s="397"/>
      <c r="E38" s="397"/>
      <c r="F38" s="398"/>
    </row>
    <row r="39" spans="1:6" ht="15.75" thickBot="1">
      <c r="A39" s="399" t="s">
        <v>119</v>
      </c>
      <c r="B39" s="394" t="s">
        <v>145</v>
      </c>
      <c r="C39" s="362"/>
      <c r="D39" s="364"/>
      <c r="E39" s="394" t="s">
        <v>3</v>
      </c>
      <c r="F39" s="364"/>
    </row>
    <row r="40" spans="1:6" ht="18.75" thickBot="1">
      <c r="A40" s="400">
        <v>114893.73</v>
      </c>
      <c r="B40" s="401">
        <f>E40-A40</f>
        <v>913887.32000000007</v>
      </c>
      <c r="C40" s="402"/>
      <c r="D40" s="403"/>
      <c r="E40" s="360">
        <v>1028781.05</v>
      </c>
      <c r="F40" s="361"/>
    </row>
    <row r="41" spans="1:6" ht="15.75" thickBot="1">
      <c r="A41" s="333"/>
      <c r="B41" s="333"/>
      <c r="C41" s="333"/>
      <c r="D41" s="333"/>
      <c r="E41" s="333"/>
      <c r="F41" s="333"/>
    </row>
    <row r="42" spans="1:6" ht="18" thickBot="1">
      <c r="A42" s="404" t="s">
        <v>147</v>
      </c>
      <c r="B42" s="405" t="s">
        <v>119</v>
      </c>
      <c r="C42" s="406"/>
      <c r="D42" s="404" t="s">
        <v>145</v>
      </c>
      <c r="E42" s="405" t="s">
        <v>3</v>
      </c>
      <c r="F42" s="406"/>
    </row>
    <row r="43" spans="1:6" ht="17.25">
      <c r="A43" s="407" t="s">
        <v>148</v>
      </c>
      <c r="B43" s="408">
        <f>A40*(0.1*(10/3)*2)</f>
        <v>76595.820000000007</v>
      </c>
      <c r="C43" s="386"/>
      <c r="D43" s="409">
        <f>B40*(0.1*(10/3)*2)</f>
        <v>609258.21333333349</v>
      </c>
      <c r="E43" s="410">
        <f>SUM(B43:D43)</f>
        <v>685854.03333333344</v>
      </c>
      <c r="F43" s="411"/>
    </row>
    <row r="44" spans="1:6" ht="18" thickBot="1">
      <c r="A44" s="373" t="s">
        <v>149</v>
      </c>
      <c r="B44" s="412">
        <f>A40*(0.1*(10/3))</f>
        <v>38297.910000000003</v>
      </c>
      <c r="C44" s="393"/>
      <c r="D44" s="413">
        <f>B40*(0.1*(10/3))</f>
        <v>304629.10666666675</v>
      </c>
      <c r="E44" s="414">
        <f>SUM(B44:D44)</f>
        <v>342927.01666666672</v>
      </c>
      <c r="F44" s="415"/>
    </row>
    <row r="45" spans="1:6" ht="18.75" thickBot="1">
      <c r="A45" s="333"/>
      <c r="B45" s="333"/>
      <c r="C45" s="333"/>
      <c r="D45" s="353" t="s">
        <v>150</v>
      </c>
      <c r="E45" s="354">
        <f>SUM(E43:F44)</f>
        <v>1028781.0500000002</v>
      </c>
      <c r="F45" s="355"/>
    </row>
    <row r="46" spans="1:6">
      <c r="A46" s="333"/>
      <c r="B46" s="416"/>
      <c r="C46" s="416"/>
      <c r="D46" s="333"/>
      <c r="E46" s="416"/>
      <c r="F46" s="416"/>
    </row>
    <row r="47" spans="1:6">
      <c r="A47" s="333"/>
      <c r="B47" s="333"/>
      <c r="C47" s="333"/>
      <c r="D47" s="333"/>
      <c r="E47" s="416"/>
      <c r="F47" s="416"/>
    </row>
    <row r="48" spans="1:6" ht="15.75" thickBot="1">
      <c r="A48" s="333"/>
      <c r="B48" s="333"/>
      <c r="C48" s="333"/>
      <c r="D48" s="333"/>
      <c r="E48" s="333"/>
      <c r="F48" s="333"/>
    </row>
    <row r="49" spans="1:6" ht="18.75" thickBot="1">
      <c r="A49" s="297" t="s">
        <v>96</v>
      </c>
      <c r="B49" s="303"/>
      <c r="C49" s="303"/>
      <c r="D49" s="304" t="s">
        <v>152</v>
      </c>
      <c r="E49" s="354" t="s">
        <v>153</v>
      </c>
      <c r="F49" s="355"/>
    </row>
    <row r="50" spans="1:6" ht="20.25" thickBot="1">
      <c r="A50" s="417" t="s">
        <v>101</v>
      </c>
      <c r="B50" s="418"/>
      <c r="C50" s="357"/>
      <c r="D50" s="363" t="s">
        <v>152</v>
      </c>
      <c r="E50" s="354" t="s">
        <v>154</v>
      </c>
      <c r="F50" s="355"/>
    </row>
    <row r="51" spans="1:6" ht="15.75" thickBot="1">
      <c r="A51" s="333"/>
      <c r="B51" s="333"/>
      <c r="C51" s="333"/>
      <c r="D51" s="333"/>
      <c r="E51" s="333"/>
      <c r="F51" s="333"/>
    </row>
    <row r="52" spans="1:6" ht="20.25" thickBot="1">
      <c r="A52" s="419" t="s">
        <v>155</v>
      </c>
      <c r="B52" s="420"/>
      <c r="C52" s="421"/>
      <c r="D52" s="422" t="s">
        <v>152</v>
      </c>
      <c r="E52" s="354" t="s">
        <v>156</v>
      </c>
      <c r="F52" s="355"/>
    </row>
  </sheetData>
  <mergeCells count="75">
    <mergeCell ref="E47:F47"/>
    <mergeCell ref="B49:C49"/>
    <mergeCell ref="E49:F49"/>
    <mergeCell ref="E50:F50"/>
    <mergeCell ref="E52:F52"/>
    <mergeCell ref="B43:C43"/>
    <mergeCell ref="E43:F43"/>
    <mergeCell ref="B44:C44"/>
    <mergeCell ref="E44:F44"/>
    <mergeCell ref="E45:F45"/>
    <mergeCell ref="B46:C46"/>
    <mergeCell ref="E46:F46"/>
    <mergeCell ref="A38:F38"/>
    <mergeCell ref="B39:D39"/>
    <mergeCell ref="E39:F39"/>
    <mergeCell ref="B40:D40"/>
    <mergeCell ref="E40:F40"/>
    <mergeCell ref="B42:C42"/>
    <mergeCell ref="E42:F42"/>
    <mergeCell ref="B34:C34"/>
    <mergeCell ref="E34:F34"/>
    <mergeCell ref="B35:C35"/>
    <mergeCell ref="E35:F35"/>
    <mergeCell ref="B36:C36"/>
    <mergeCell ref="E36:F36"/>
    <mergeCell ref="B31:C31"/>
    <mergeCell ref="E31:F31"/>
    <mergeCell ref="B32:C32"/>
    <mergeCell ref="E32:F32"/>
    <mergeCell ref="B33:C33"/>
    <mergeCell ref="E33:F33"/>
    <mergeCell ref="B27:C27"/>
    <mergeCell ref="E27:F27"/>
    <mergeCell ref="B28:C28"/>
    <mergeCell ref="E28:F28"/>
    <mergeCell ref="B30:C30"/>
    <mergeCell ref="E30:F30"/>
    <mergeCell ref="B24:C24"/>
    <mergeCell ref="E24:F24"/>
    <mergeCell ref="B25:C25"/>
    <mergeCell ref="E25:F25"/>
    <mergeCell ref="B26:C26"/>
    <mergeCell ref="E26:F26"/>
    <mergeCell ref="E19:F19"/>
    <mergeCell ref="E21:F21"/>
    <mergeCell ref="B22:C22"/>
    <mergeCell ref="E22:F22"/>
    <mergeCell ref="B23:C23"/>
    <mergeCell ref="E23:F23"/>
    <mergeCell ref="B16:C16"/>
    <mergeCell ref="E16:F16"/>
    <mergeCell ref="B17:C17"/>
    <mergeCell ref="E17:F17"/>
    <mergeCell ref="B18:C18"/>
    <mergeCell ref="E18:F18"/>
    <mergeCell ref="B10:C10"/>
    <mergeCell ref="E10:F10"/>
    <mergeCell ref="A12:F12"/>
    <mergeCell ref="B13:D13"/>
    <mergeCell ref="E13:F13"/>
    <mergeCell ref="B14:D14"/>
    <mergeCell ref="E14:F14"/>
    <mergeCell ref="B7:C7"/>
    <mergeCell ref="E7:F7"/>
    <mergeCell ref="B8:C8"/>
    <mergeCell ref="E8:F8"/>
    <mergeCell ref="B9:C9"/>
    <mergeCell ref="E9:F9"/>
    <mergeCell ref="E1:F1"/>
    <mergeCell ref="B2:C2"/>
    <mergeCell ref="E2:F2"/>
    <mergeCell ref="E3:F3"/>
    <mergeCell ref="E4:F4"/>
    <mergeCell ref="B5:C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4"/>
  <sheetViews>
    <sheetView topLeftCell="A24" zoomScaleNormal="100" workbookViewId="0">
      <selection activeCell="H126" sqref="H126"/>
    </sheetView>
  </sheetViews>
  <sheetFormatPr defaultColWidth="9" defaultRowHeight="15"/>
  <cols>
    <col min="1" max="1" width="26.5703125" customWidth="1"/>
    <col min="2" max="2" width="29.28515625" customWidth="1"/>
    <col min="3" max="3" width="16.5703125" customWidth="1"/>
    <col min="4" max="4" width="30.28515625" customWidth="1"/>
    <col min="5" max="5" width="21.85546875" customWidth="1"/>
    <col min="6" max="6" width="19" customWidth="1"/>
    <col min="7" max="7" width="16.85546875" customWidth="1"/>
    <col min="8" max="8" width="26" customWidth="1"/>
    <col min="9" max="9" width="10"/>
    <col min="10" max="10" width="24.42578125" customWidth="1"/>
    <col min="11" max="11" width="23.140625" customWidth="1"/>
    <col min="12" max="12" width="30.42578125" customWidth="1"/>
    <col min="13" max="13" width="31.7109375" customWidth="1"/>
    <col min="14" max="14" width="28.5703125" bestFit="1" customWidth="1"/>
    <col min="15" max="15" width="17" customWidth="1"/>
    <col min="16" max="16" width="18.7109375" customWidth="1"/>
    <col min="17" max="17" width="22.28515625" customWidth="1"/>
    <col min="18" max="256" width="10" customWidth="1"/>
  </cols>
  <sheetData>
    <row r="1" spans="1:13" ht="17.25">
      <c r="A1" s="2"/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ht="17.25">
      <c r="A2" s="2"/>
      <c r="B2" s="2"/>
      <c r="C2" s="2"/>
      <c r="D2" s="2"/>
      <c r="E2" s="2"/>
      <c r="F2" s="2"/>
      <c r="G2" s="2"/>
      <c r="H2" s="2"/>
      <c r="I2" s="29"/>
      <c r="J2" s="29"/>
      <c r="K2" s="1"/>
      <c r="L2" s="1"/>
      <c r="M2" s="1"/>
    </row>
    <row r="3" spans="1:13" ht="17.25">
      <c r="A3" s="2"/>
      <c r="B3" s="2"/>
      <c r="C3" s="2"/>
      <c r="D3" s="2"/>
      <c r="E3" s="2"/>
      <c r="F3" s="2"/>
      <c r="G3" s="2"/>
      <c r="H3" s="2"/>
      <c r="I3" s="29"/>
      <c r="J3" s="29"/>
      <c r="K3" s="1"/>
      <c r="L3" s="1"/>
      <c r="M3" s="1"/>
    </row>
    <row r="4" spans="1:13" ht="17.25">
      <c r="A4" s="2"/>
      <c r="B4" s="2"/>
      <c r="C4" s="2"/>
      <c r="D4" s="2"/>
      <c r="E4" s="2"/>
      <c r="F4" s="2"/>
      <c r="G4" s="2"/>
      <c r="H4" s="2"/>
      <c r="I4" s="29"/>
      <c r="J4" s="29"/>
      <c r="K4" s="1"/>
      <c r="L4" s="1"/>
      <c r="M4" s="1"/>
    </row>
    <row r="5" spans="1:13" ht="17.25">
      <c r="A5" s="2"/>
      <c r="B5" s="2"/>
      <c r="C5" s="2"/>
      <c r="D5" s="2"/>
      <c r="E5" s="2"/>
      <c r="F5" s="2"/>
      <c r="G5" s="2"/>
      <c r="H5" s="2"/>
      <c r="I5" s="29"/>
      <c r="J5" s="29"/>
      <c r="K5" s="1"/>
      <c r="L5" s="1"/>
      <c r="M5" s="1"/>
    </row>
    <row r="6" spans="1:13" ht="17.25">
      <c r="A6" s="2"/>
      <c r="B6" s="2"/>
      <c r="C6" s="2"/>
      <c r="D6" s="2"/>
      <c r="E6" s="2"/>
      <c r="F6" s="2"/>
      <c r="G6" s="2"/>
      <c r="H6" s="2"/>
      <c r="I6" s="1"/>
      <c r="J6" s="1"/>
      <c r="K6" s="1"/>
      <c r="L6" s="1"/>
      <c r="M6" s="1"/>
    </row>
    <row r="7" spans="1:13" ht="17.25">
      <c r="A7" s="2"/>
      <c r="B7" s="2"/>
      <c r="C7" s="2"/>
      <c r="D7" s="2"/>
      <c r="E7" s="2"/>
      <c r="F7" s="2"/>
      <c r="G7" s="2"/>
      <c r="H7" s="2"/>
      <c r="I7" s="29"/>
      <c r="J7" s="29"/>
      <c r="K7" s="1"/>
      <c r="L7" s="1"/>
      <c r="M7" s="1"/>
    </row>
    <row r="8" spans="1:13" ht="17.25">
      <c r="A8" s="2"/>
      <c r="B8" s="2"/>
      <c r="C8" s="2"/>
      <c r="D8" s="2"/>
      <c r="E8" s="2"/>
      <c r="F8" s="2"/>
      <c r="G8" s="2"/>
      <c r="H8" s="2"/>
      <c r="I8" s="29"/>
      <c r="J8" s="29"/>
      <c r="K8" s="1"/>
      <c r="L8" s="1"/>
      <c r="M8" s="1"/>
    </row>
    <row r="9" spans="1:13" ht="17.25">
      <c r="A9" s="2"/>
      <c r="B9" s="2"/>
      <c r="C9" s="2"/>
      <c r="D9" s="2"/>
      <c r="E9" s="2"/>
      <c r="F9" s="2"/>
      <c r="G9" s="2"/>
      <c r="H9" s="2"/>
      <c r="I9" s="1"/>
      <c r="K9" s="30"/>
      <c r="L9" s="1"/>
      <c r="M9" s="1"/>
    </row>
    <row r="10" spans="1:13" ht="17.25">
      <c r="A10" s="2"/>
      <c r="B10" s="2"/>
      <c r="C10" s="2"/>
      <c r="D10" s="2"/>
      <c r="E10" s="2"/>
      <c r="F10" s="2"/>
      <c r="G10" s="2"/>
      <c r="H10" s="2"/>
      <c r="I10" s="29"/>
      <c r="J10" s="29"/>
      <c r="K10" s="30"/>
      <c r="L10" s="1"/>
      <c r="M10" s="1"/>
    </row>
    <row r="11" spans="1:13" ht="20.25">
      <c r="A11" s="255" t="s">
        <v>14</v>
      </c>
      <c r="B11" s="256"/>
      <c r="C11" s="256"/>
      <c r="D11" s="256"/>
      <c r="E11" s="256"/>
      <c r="F11" s="256"/>
      <c r="G11" s="256"/>
      <c r="H11" s="257"/>
      <c r="I11" s="1"/>
      <c r="J11" s="1"/>
      <c r="K11" s="30"/>
      <c r="L11" s="1"/>
      <c r="M11" s="1"/>
    </row>
    <row r="12" spans="1:13" ht="17.25">
      <c r="A12" s="31"/>
      <c r="B12" s="31"/>
      <c r="C12" s="31"/>
      <c r="D12" s="31"/>
      <c r="E12" s="31"/>
      <c r="F12" s="31"/>
      <c r="G12" s="31"/>
      <c r="H12" s="31"/>
      <c r="K12" s="1"/>
      <c r="L12" s="1"/>
      <c r="M12" s="1"/>
    </row>
    <row r="13" spans="1:13" ht="17.25">
      <c r="A13" s="32"/>
      <c r="B13" s="32"/>
      <c r="C13" s="32"/>
      <c r="D13" s="32"/>
      <c r="E13" s="32"/>
      <c r="F13" s="32"/>
      <c r="G13" s="32"/>
      <c r="H13" s="32"/>
      <c r="K13" s="1"/>
      <c r="L13" s="1"/>
      <c r="M13" s="1"/>
    </row>
    <row r="15" spans="1:13">
      <c r="A15" s="33"/>
      <c r="B15" s="33"/>
    </row>
    <row r="16" spans="1:13" ht="15.75">
      <c r="A16" s="34" t="str">
        <f>CONCATENATE("VILLAS  - ",SUM(G17:G18)," UNITS")</f>
        <v>VILLAS  - 58 UNITS</v>
      </c>
      <c r="B16" s="35"/>
      <c r="C16" s="36" t="s">
        <v>94</v>
      </c>
      <c r="D16" s="36" t="s">
        <v>115</v>
      </c>
      <c r="E16" s="37" t="s">
        <v>95</v>
      </c>
      <c r="G16" s="38" t="s">
        <v>93</v>
      </c>
      <c r="H16" s="37" t="s">
        <v>114</v>
      </c>
      <c r="J16" s="56" t="s">
        <v>142</v>
      </c>
    </row>
    <row r="17" spans="1:15" ht="17.25">
      <c r="A17" s="39" t="s">
        <v>97</v>
      </c>
      <c r="B17" s="40"/>
      <c r="C17" s="40">
        <v>57</v>
      </c>
      <c r="D17" s="41" t="s">
        <v>98</v>
      </c>
      <c r="E17" s="42">
        <f>C17*B30</f>
        <v>313500</v>
      </c>
      <c r="G17" s="43">
        <f>28</f>
        <v>28</v>
      </c>
      <c r="H17" s="44">
        <f>G17*E17</f>
        <v>8778000</v>
      </c>
    </row>
    <row r="18" spans="1:15" ht="17.25">
      <c r="A18" s="45" t="s">
        <v>99</v>
      </c>
      <c r="B18" s="46"/>
      <c r="C18" s="47">
        <v>67</v>
      </c>
      <c r="D18" s="48" t="s">
        <v>100</v>
      </c>
      <c r="E18" s="49">
        <f>C18*B30</f>
        <v>368500</v>
      </c>
      <c r="G18" s="50">
        <f>30</f>
        <v>30</v>
      </c>
      <c r="H18" s="51">
        <f>E18*G18</f>
        <v>11055000</v>
      </c>
    </row>
    <row r="19" spans="1:15" ht="18.75">
      <c r="B19" s="28"/>
      <c r="C19" s="1"/>
      <c r="D19" s="52" t="s">
        <v>109</v>
      </c>
      <c r="E19" s="53">
        <f>E17+E18</f>
        <v>682000</v>
      </c>
      <c r="G19" s="52" t="s">
        <v>109</v>
      </c>
      <c r="H19" s="53">
        <f>SUM(H17:H18)</f>
        <v>19833000</v>
      </c>
    </row>
    <row r="20" spans="1:15" ht="17.25">
      <c r="B20" s="28"/>
      <c r="C20" s="1"/>
      <c r="D20" s="1"/>
      <c r="E20" s="33"/>
      <c r="F20" s="54"/>
      <c r="G20" s="33"/>
      <c r="H20" s="54"/>
    </row>
    <row r="22" spans="1:15">
      <c r="A22" s="55" t="str">
        <f>CONCATENATE("COURT  - ",SUM(G23:G27)," / ",112+23," UNITS")</f>
        <v>COURT  - 135 / 135 UNITS</v>
      </c>
      <c r="B22" s="36"/>
      <c r="C22" s="36" t="s">
        <v>94</v>
      </c>
      <c r="D22" s="36" t="s">
        <v>115</v>
      </c>
      <c r="E22" s="37" t="s">
        <v>95</v>
      </c>
      <c r="G22" s="38" t="s">
        <v>93</v>
      </c>
      <c r="H22" s="37" t="s">
        <v>114</v>
      </c>
      <c r="J22" s="56" t="s">
        <v>134</v>
      </c>
    </row>
    <row r="23" spans="1:15" ht="17.25">
      <c r="A23" s="39" t="s">
        <v>97</v>
      </c>
      <c r="B23" s="40"/>
      <c r="C23" s="40">
        <v>39</v>
      </c>
      <c r="D23" s="41" t="s">
        <v>102</v>
      </c>
      <c r="E23" s="42">
        <f>C23*B30</f>
        <v>214500</v>
      </c>
      <c r="G23" s="57">
        <f>(4*8)+5</f>
        <v>37</v>
      </c>
      <c r="H23" s="58">
        <f>G23*E23</f>
        <v>7936500</v>
      </c>
      <c r="J23" s="56" t="s">
        <v>135</v>
      </c>
    </row>
    <row r="24" spans="1:15" ht="17.25">
      <c r="A24" s="59" t="s">
        <v>103</v>
      </c>
      <c r="B24" s="60"/>
      <c r="C24" s="17">
        <v>52</v>
      </c>
      <c r="D24" s="1" t="s">
        <v>104</v>
      </c>
      <c r="E24" s="49">
        <f>C24*B30</f>
        <v>286000</v>
      </c>
      <c r="G24" s="61">
        <f>24+4</f>
        <v>28</v>
      </c>
      <c r="H24" s="62">
        <f>G24*E24</f>
        <v>8008000</v>
      </c>
    </row>
    <row r="25" spans="1:15" ht="17.25">
      <c r="A25" s="59" t="s">
        <v>105</v>
      </c>
      <c r="B25" s="60"/>
      <c r="C25" s="17">
        <v>48</v>
      </c>
      <c r="D25" s="1" t="s">
        <v>104</v>
      </c>
      <c r="E25" s="49">
        <f>C25*B30</f>
        <v>264000</v>
      </c>
      <c r="G25" s="61">
        <f>24+4</f>
        <v>28</v>
      </c>
      <c r="H25" s="62">
        <f>G25*E25</f>
        <v>7392000</v>
      </c>
      <c r="J25">
        <f>23</f>
        <v>23</v>
      </c>
    </row>
    <row r="26" spans="1:15" ht="17.25">
      <c r="A26" s="59" t="s">
        <v>106</v>
      </c>
      <c r="B26" s="60"/>
      <c r="C26" s="17">
        <v>62</v>
      </c>
      <c r="D26" s="1" t="s">
        <v>104</v>
      </c>
      <c r="E26" s="49">
        <f>C26*B30</f>
        <v>341000</v>
      </c>
      <c r="G26" s="61">
        <f>16+5</f>
        <v>21</v>
      </c>
      <c r="H26" s="62">
        <f>G26*E26</f>
        <v>7161000</v>
      </c>
      <c r="J26">
        <f>J25/5</f>
        <v>4.5999999999999996</v>
      </c>
    </row>
    <row r="27" spans="1:15" ht="17.25">
      <c r="A27" s="45" t="s">
        <v>107</v>
      </c>
      <c r="B27" s="63"/>
      <c r="C27" s="64">
        <v>49</v>
      </c>
      <c r="D27" s="48" t="s">
        <v>104</v>
      </c>
      <c r="E27" s="49">
        <f>C27*B30</f>
        <v>269500</v>
      </c>
      <c r="G27" s="65">
        <f>16+5</f>
        <v>21</v>
      </c>
      <c r="H27" s="62">
        <f>G27*E27</f>
        <v>5659500</v>
      </c>
    </row>
    <row r="28" spans="1:15" ht="18.75">
      <c r="A28" s="1"/>
      <c r="B28" s="1"/>
      <c r="C28" s="1"/>
      <c r="D28" s="66" t="s">
        <v>109</v>
      </c>
      <c r="E28" s="53">
        <f>SUM(E23:E27)</f>
        <v>1375000</v>
      </c>
      <c r="G28" s="67" t="s">
        <v>109</v>
      </c>
      <c r="H28" s="53">
        <f>SUM(H23:H27)</f>
        <v>36157000</v>
      </c>
    </row>
    <row r="29" spans="1:15">
      <c r="J29">
        <f>SUM(G23:G27)+SUM(G17:G18)</f>
        <v>193</v>
      </c>
    </row>
    <row r="30" spans="1:15" ht="18">
      <c r="A30" s="68" t="s">
        <v>108</v>
      </c>
      <c r="B30" s="69">
        <v>5500</v>
      </c>
      <c r="C30" s="70"/>
      <c r="D30" s="66" t="s">
        <v>109</v>
      </c>
      <c r="E30" s="53">
        <f>E19+E28</f>
        <v>2057000</v>
      </c>
      <c r="G30" s="52" t="s">
        <v>109</v>
      </c>
      <c r="H30" s="53">
        <f>SUM(H19+H28)</f>
        <v>55990000</v>
      </c>
    </row>
    <row r="31" spans="1:15">
      <c r="J31" s="71"/>
    </row>
    <row r="32" spans="1:15" ht="17.25">
      <c r="A32" s="32"/>
      <c r="B32" s="32"/>
      <c r="C32" s="32"/>
      <c r="D32" s="32"/>
      <c r="E32" s="32"/>
      <c r="F32" s="32"/>
      <c r="G32" s="32"/>
      <c r="H32" s="32"/>
      <c r="J32" s="71"/>
      <c r="K32" s="296"/>
      <c r="L32" s="296"/>
      <c r="N32" s="296"/>
      <c r="O32" s="296"/>
    </row>
    <row r="33" spans="1:16">
      <c r="N33" s="296"/>
      <c r="O33" s="296"/>
    </row>
    <row r="34" spans="1:16" ht="19.5">
      <c r="A34" s="72" t="s">
        <v>96</v>
      </c>
      <c r="L34" s="296"/>
      <c r="M34" s="296"/>
      <c r="N34" s="296"/>
      <c r="O34" s="296"/>
      <c r="P34" s="296"/>
    </row>
    <row r="35" spans="1:16">
      <c r="L35" s="296"/>
      <c r="M35" s="296"/>
      <c r="N35" s="296"/>
      <c r="O35" s="296"/>
      <c r="P35" s="296"/>
    </row>
    <row r="36" spans="1:16">
      <c r="A36" s="55" t="s">
        <v>116</v>
      </c>
      <c r="B36" s="38" t="s">
        <v>118</v>
      </c>
      <c r="C36" s="252" t="s">
        <v>117</v>
      </c>
      <c r="D36" s="252"/>
      <c r="E36" s="252" t="s">
        <v>3</v>
      </c>
      <c r="F36" s="252"/>
      <c r="G36" s="254">
        <f>35%</f>
        <v>0.35</v>
      </c>
      <c r="H36" s="258"/>
      <c r="J36" s="71"/>
    </row>
    <row r="37" spans="1:16" ht="19.5" thickBot="1">
      <c r="A37" s="53">
        <f>H101</f>
        <v>68282.554740000007</v>
      </c>
      <c r="B37" s="53">
        <f>Q101</f>
        <v>1066474.02006</v>
      </c>
      <c r="C37" s="259">
        <f>B37*0.35</f>
        <v>373265.90702099999</v>
      </c>
      <c r="D37" s="260"/>
      <c r="E37" s="286">
        <f>SUM(A37+C37)</f>
        <v>441548.46176099998</v>
      </c>
      <c r="F37" s="287"/>
      <c r="G37" s="259">
        <f>E37*(1.35)</f>
        <v>596090.42337734997</v>
      </c>
      <c r="H37" s="260"/>
    </row>
    <row r="39" spans="1:16" ht="17.25">
      <c r="A39" s="32"/>
      <c r="B39" s="32"/>
      <c r="C39" s="32"/>
      <c r="D39" s="32"/>
      <c r="E39" s="32"/>
      <c r="F39" s="32"/>
      <c r="G39" s="32"/>
      <c r="H39" s="32"/>
      <c r="J39" s="74"/>
    </row>
    <row r="40" spans="1:16">
      <c r="O40" s="296"/>
      <c r="P40" s="296"/>
    </row>
    <row r="41" spans="1:16" ht="19.5">
      <c r="A41" s="72" t="s">
        <v>101</v>
      </c>
      <c r="E41" s="71"/>
      <c r="O41" s="296"/>
      <c r="P41" s="296"/>
    </row>
    <row r="42" spans="1:16">
      <c r="A42" s="34" t="s">
        <v>119</v>
      </c>
      <c r="B42" s="38" t="s">
        <v>118</v>
      </c>
      <c r="C42" s="252" t="s">
        <v>117</v>
      </c>
      <c r="D42" s="252"/>
      <c r="E42" s="254" t="s">
        <v>3</v>
      </c>
      <c r="F42" s="254"/>
      <c r="G42" s="254">
        <v>0.35</v>
      </c>
      <c r="H42" s="258"/>
      <c r="O42" s="296"/>
      <c r="P42" s="296"/>
    </row>
    <row r="43" spans="1:16" ht="19.5" thickBot="1">
      <c r="A43" s="53">
        <f>H134</f>
        <v>114893.73474</v>
      </c>
      <c r="B43" s="53">
        <f>Q134</f>
        <v>1849046.5800600001</v>
      </c>
      <c r="C43" s="259">
        <f>B43*0.35</f>
        <v>647166.303021</v>
      </c>
      <c r="D43" s="260"/>
      <c r="E43" s="286">
        <f>SUM(A43+C43)</f>
        <v>762060.03776099999</v>
      </c>
      <c r="F43" s="287"/>
      <c r="G43" s="259">
        <f>E43*(1.35)</f>
        <v>1028781.0509773501</v>
      </c>
      <c r="H43" s="260"/>
      <c r="O43" s="296"/>
      <c r="P43" s="296"/>
    </row>
    <row r="44" spans="1:16">
      <c r="O44" s="296"/>
      <c r="P44" s="296"/>
    </row>
    <row r="45" spans="1:16" ht="17.25">
      <c r="A45" s="32"/>
      <c r="B45" s="32"/>
      <c r="C45" s="32"/>
      <c r="D45" s="32"/>
      <c r="E45" s="32"/>
      <c r="F45" s="32"/>
      <c r="G45" s="32"/>
      <c r="H45" s="32"/>
      <c r="O45" s="296"/>
      <c r="P45" s="296"/>
    </row>
    <row r="46" spans="1:16">
      <c r="O46" s="296"/>
      <c r="P46" s="296"/>
    </row>
    <row r="47" spans="1:16" ht="19.5">
      <c r="A47" s="72" t="s">
        <v>120</v>
      </c>
    </row>
    <row r="48" spans="1:16">
      <c r="A48" s="253" t="s">
        <v>125</v>
      </c>
      <c r="B48" s="254"/>
      <c r="C48" s="254" t="s">
        <v>111</v>
      </c>
      <c r="D48" s="254"/>
      <c r="E48" s="254" t="s">
        <v>126</v>
      </c>
      <c r="F48" s="254"/>
      <c r="G48" s="254" t="s">
        <v>110</v>
      </c>
      <c r="H48" s="258"/>
      <c r="O48" s="296"/>
      <c r="P48" s="296"/>
    </row>
    <row r="49" spans="1:16" ht="19.5" thickBot="1">
      <c r="A49" s="270">
        <f>SUM(H19+H28)</f>
        <v>55990000</v>
      </c>
      <c r="B49" s="271"/>
      <c r="C49" s="285">
        <f>G49/A49</f>
        <v>2.9020744317819258E-2</v>
      </c>
      <c r="D49" s="285"/>
      <c r="E49" s="271">
        <f>G49/(170+23)</f>
        <v>8419.0231831849742</v>
      </c>
      <c r="F49" s="288"/>
      <c r="G49" s="289">
        <f>SUM(G37+G43)</f>
        <v>1624871.4743547002</v>
      </c>
      <c r="H49" s="260"/>
    </row>
    <row r="50" spans="1:16" ht="17.25">
      <c r="C50" s="73"/>
      <c r="D50" s="73"/>
      <c r="E50" s="76"/>
      <c r="F50" s="76"/>
      <c r="J50" s="77"/>
    </row>
    <row r="51" spans="1:16" ht="17.25">
      <c r="A51" s="32"/>
      <c r="B51" s="32"/>
      <c r="C51" s="32"/>
      <c r="D51" s="32"/>
      <c r="E51" s="32"/>
      <c r="F51" s="32"/>
      <c r="G51" s="32"/>
      <c r="H51" s="32"/>
      <c r="J51" s="77"/>
    </row>
    <row r="52" spans="1:16" ht="17.25">
      <c r="C52" s="73"/>
      <c r="D52" s="73"/>
      <c r="E52" s="76"/>
      <c r="F52" s="76"/>
      <c r="J52" s="77"/>
      <c r="L52" s="296"/>
      <c r="M52" s="296"/>
      <c r="N52" s="296"/>
      <c r="O52" s="296"/>
      <c r="P52" s="296"/>
    </row>
    <row r="53" spans="1:16" ht="19.5">
      <c r="A53" s="72" t="s">
        <v>96</v>
      </c>
      <c r="C53" s="73"/>
      <c r="D53" s="73"/>
      <c r="E53" s="76"/>
      <c r="F53" s="76"/>
      <c r="J53" s="77"/>
    </row>
    <row r="54" spans="1:16">
      <c r="A54" s="38" t="s">
        <v>133</v>
      </c>
      <c r="B54" s="36" t="s">
        <v>128</v>
      </c>
      <c r="C54" s="36" t="s">
        <v>129</v>
      </c>
      <c r="D54" s="37" t="s">
        <v>3</v>
      </c>
      <c r="F54" s="71">
        <f>E49*E66</f>
        <v>2525.7069549554922</v>
      </c>
      <c r="J54" s="77"/>
    </row>
    <row r="55" spans="1:16">
      <c r="A55" t="s">
        <v>127</v>
      </c>
      <c r="B55" s="28">
        <f>H93</f>
        <v>45521.703160000005</v>
      </c>
      <c r="C55" s="28">
        <f>Q93*0.35</f>
        <v>248843.93801399998</v>
      </c>
      <c r="D55" s="28">
        <f>SUM(B55:C55)*1.35</f>
        <v>397393.61558490002</v>
      </c>
      <c r="J55" s="77"/>
    </row>
    <row r="56" spans="1:16" ht="17.25">
      <c r="A56" t="s">
        <v>47</v>
      </c>
      <c r="B56" s="28">
        <f>H94</f>
        <v>22760.851580000002</v>
      </c>
      <c r="C56" s="28">
        <f>Q94*0.35</f>
        <v>124421.96900699999</v>
      </c>
      <c r="D56" s="28">
        <f>SUM(B56:C56)*1.35</f>
        <v>198696.80779245001</v>
      </c>
      <c r="J56" s="77"/>
      <c r="K56" s="78"/>
      <c r="L56" s="79"/>
      <c r="M56" s="1"/>
    </row>
    <row r="57" spans="1:16" ht="17.25">
      <c r="B57" s="28"/>
      <c r="C57" s="28"/>
      <c r="D57" s="28"/>
      <c r="J57" s="77"/>
      <c r="K57" s="77"/>
      <c r="L57" s="79"/>
      <c r="M57" s="1"/>
    </row>
    <row r="58" spans="1:16" ht="19.5">
      <c r="A58" s="72" t="s">
        <v>101</v>
      </c>
      <c r="C58" s="73"/>
      <c r="G58" s="28"/>
      <c r="J58" s="77"/>
      <c r="K58" s="77"/>
      <c r="L58" s="79"/>
      <c r="M58" s="1"/>
    </row>
    <row r="59" spans="1:16" ht="17.25">
      <c r="A59" s="38" t="s">
        <v>133</v>
      </c>
      <c r="B59" s="36" t="s">
        <v>128</v>
      </c>
      <c r="C59" s="36" t="s">
        <v>129</v>
      </c>
      <c r="D59" s="37" t="s">
        <v>3</v>
      </c>
      <c r="J59" s="77"/>
      <c r="K59" s="77"/>
      <c r="L59" s="79"/>
      <c r="M59" s="1"/>
    </row>
    <row r="60" spans="1:16" ht="17.25">
      <c r="A60" t="s">
        <v>127</v>
      </c>
      <c r="B60" s="28">
        <f>H126</f>
        <v>76595.823160000014</v>
      </c>
      <c r="C60" s="28">
        <f>Q126*0.35</f>
        <v>431444.20201399998</v>
      </c>
      <c r="D60" s="28">
        <f>SUM(B60:C60)*1.35</f>
        <v>685854.0339849001</v>
      </c>
      <c r="J60" s="232"/>
      <c r="K60" s="77"/>
      <c r="L60" s="79"/>
      <c r="M60" s="1"/>
    </row>
    <row r="61" spans="1:16" ht="17.25">
      <c r="A61" t="s">
        <v>47</v>
      </c>
      <c r="B61" s="28">
        <f>H127</f>
        <v>38297.911580000007</v>
      </c>
      <c r="C61" s="28">
        <f>Q127*0.35</f>
        <v>215722.10100699999</v>
      </c>
      <c r="D61" s="28">
        <f>SUM(B61:C61)*1.35</f>
        <v>342927.01699245005</v>
      </c>
      <c r="J61" s="77"/>
      <c r="K61" s="78"/>
      <c r="L61" s="79"/>
      <c r="M61" s="1"/>
    </row>
    <row r="62" spans="1:16" ht="17.25">
      <c r="C62" s="73"/>
      <c r="F62" s="80" t="s">
        <v>83</v>
      </c>
      <c r="G62" s="80" t="s">
        <v>84</v>
      </c>
      <c r="H62" s="80" t="s">
        <v>85</v>
      </c>
      <c r="J62" s="77"/>
      <c r="K62" s="78"/>
      <c r="L62" s="79"/>
      <c r="M62" s="1"/>
    </row>
    <row r="63" spans="1:16" ht="17.25">
      <c r="A63" s="38" t="s">
        <v>130</v>
      </c>
      <c r="B63" s="81" t="s">
        <v>111</v>
      </c>
      <c r="C63" s="81"/>
      <c r="D63" s="82" t="s">
        <v>110</v>
      </c>
      <c r="F63" s="83" t="s">
        <v>80</v>
      </c>
      <c r="G63" s="84">
        <v>0.6</v>
      </c>
      <c r="H63" s="85">
        <f>D66*G63</f>
        <v>292476.86538384605</v>
      </c>
      <c r="J63" s="77"/>
      <c r="K63" s="78"/>
      <c r="L63" s="79"/>
      <c r="M63" s="1"/>
    </row>
    <row r="64" spans="1:16" ht="17.25">
      <c r="A64" s="86" t="s">
        <v>131</v>
      </c>
      <c r="B64" s="87">
        <v>0.2</v>
      </c>
      <c r="C64" s="87"/>
      <c r="D64" s="88">
        <f>(D55+D60)*B64</f>
        <v>216649.52991396002</v>
      </c>
      <c r="E64" s="28"/>
      <c r="F64" s="83" t="s">
        <v>81</v>
      </c>
      <c r="G64" s="84">
        <v>0.3</v>
      </c>
      <c r="H64" s="85">
        <f>D66*G64</f>
        <v>146238.43269192302</v>
      </c>
      <c r="J64" s="77"/>
      <c r="K64" s="78"/>
      <c r="L64" s="79"/>
      <c r="M64" s="1"/>
    </row>
    <row r="65" spans="1:17" ht="17.25">
      <c r="A65" s="89" t="s">
        <v>132</v>
      </c>
      <c r="B65" s="90">
        <v>0.5</v>
      </c>
      <c r="C65" s="90"/>
      <c r="D65" s="91">
        <f>(D56+D61)*B65</f>
        <v>270811.91239245003</v>
      </c>
      <c r="E65" s="28"/>
      <c r="F65" s="92" t="s">
        <v>82</v>
      </c>
      <c r="G65" s="93">
        <v>0.1</v>
      </c>
      <c r="H65" s="94">
        <f>D66*G65</f>
        <v>48746.14423064101</v>
      </c>
      <c r="K65" s="1"/>
      <c r="L65" s="1"/>
      <c r="M65" s="1"/>
    </row>
    <row r="66" spans="1:17" ht="17.25">
      <c r="D66" s="28">
        <f>SUM(D64:D65)</f>
        <v>487461.44230641006</v>
      </c>
      <c r="E66" s="95">
        <f>D66/G49</f>
        <v>0.3</v>
      </c>
      <c r="F66" s="96" t="s">
        <v>3</v>
      </c>
      <c r="G66" s="97">
        <f>SUM(G63:G65)</f>
        <v>0.99999999999999989</v>
      </c>
      <c r="H66" s="98">
        <f>SUM(H63:H65)</f>
        <v>487461.44230641011</v>
      </c>
      <c r="K66" s="1"/>
      <c r="L66" s="1"/>
      <c r="M66" s="1"/>
    </row>
    <row r="67" spans="1:17" ht="17.25">
      <c r="B67" s="99"/>
      <c r="E67" s="28"/>
      <c r="G67" s="28"/>
      <c r="K67" s="1"/>
      <c r="L67" s="1"/>
      <c r="M67" s="1"/>
    </row>
    <row r="68" spans="1:17" ht="17.25">
      <c r="K68" s="1"/>
      <c r="L68" s="1"/>
      <c r="M68" s="1"/>
    </row>
    <row r="69" spans="1:17" ht="17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7" ht="29.25">
      <c r="A70" s="100" t="s">
        <v>123</v>
      </c>
      <c r="I70" s="1"/>
      <c r="J70" s="100" t="s">
        <v>124</v>
      </c>
    </row>
    <row r="71" spans="1:17" ht="17.25">
      <c r="I71" s="1"/>
    </row>
    <row r="72" spans="1:17" ht="18.75">
      <c r="A72" s="101" t="s">
        <v>61</v>
      </c>
      <c r="B72" s="102"/>
      <c r="C72" s="103"/>
      <c r="D72" s="1"/>
      <c r="E72" s="1"/>
      <c r="F72" s="1"/>
      <c r="G72" s="1"/>
      <c r="H72" s="1"/>
      <c r="I72" s="1"/>
      <c r="J72" s="101" t="s">
        <v>61</v>
      </c>
      <c r="K72" s="102"/>
      <c r="L72" s="103"/>
      <c r="M72" s="1"/>
      <c r="N72" s="1"/>
      <c r="O72" s="1"/>
      <c r="P72" s="1"/>
      <c r="Q72" s="1"/>
    </row>
    <row r="73" spans="1:17" ht="17.25">
      <c r="A73" s="104" t="s">
        <v>15</v>
      </c>
      <c r="B73" s="105"/>
      <c r="C73" s="105"/>
      <c r="D73" s="106"/>
      <c r="E73" s="107"/>
      <c r="F73" s="105" t="s">
        <v>63</v>
      </c>
      <c r="G73" s="107" t="s">
        <v>16</v>
      </c>
      <c r="H73" s="108" t="s">
        <v>71</v>
      </c>
      <c r="I73" s="1"/>
      <c r="J73" s="104" t="s">
        <v>15</v>
      </c>
      <c r="K73" s="105"/>
      <c r="L73" s="105"/>
      <c r="M73" s="106"/>
      <c r="N73" s="107"/>
      <c r="O73" s="105" t="s">
        <v>63</v>
      </c>
      <c r="P73" s="107" t="s">
        <v>16</v>
      </c>
      <c r="Q73" s="108" t="s">
        <v>71</v>
      </c>
    </row>
    <row r="74" spans="1:17" ht="17.25">
      <c r="A74" s="109"/>
      <c r="B74" s="109"/>
      <c r="C74" s="109"/>
      <c r="D74" s="109"/>
      <c r="E74" s="110"/>
      <c r="F74" s="110"/>
      <c r="G74" s="111"/>
      <c r="H74" s="110"/>
      <c r="I74" s="1"/>
      <c r="J74" s="109"/>
      <c r="K74" s="109"/>
      <c r="L74" s="109"/>
      <c r="M74" s="109"/>
      <c r="N74" s="110"/>
      <c r="O74" s="110"/>
      <c r="P74" s="111"/>
      <c r="Q74" s="110"/>
    </row>
    <row r="75" spans="1:17" ht="17.25">
      <c r="A75" s="17" t="s">
        <v>112</v>
      </c>
      <c r="C75" s="17"/>
      <c r="D75" s="1"/>
      <c r="E75" s="112"/>
      <c r="F75" s="112"/>
      <c r="G75" s="30"/>
      <c r="H75" s="73">
        <f>E19</f>
        <v>682000</v>
      </c>
      <c r="I75" s="1"/>
      <c r="J75" s="17" t="s">
        <v>112</v>
      </c>
      <c r="L75" s="17"/>
      <c r="M75" s="1"/>
      <c r="N75" s="112"/>
      <c r="O75" s="112"/>
      <c r="P75" s="30"/>
      <c r="Q75" s="73">
        <f>H19</f>
        <v>19833000</v>
      </c>
    </row>
    <row r="76" spans="1:17" ht="17.25">
      <c r="B76" s="17"/>
      <c r="H76" s="73"/>
      <c r="I76" s="1"/>
      <c r="K76" s="17"/>
      <c r="Q76" s="73"/>
    </row>
    <row r="77" spans="1:17" ht="17.25">
      <c r="I77" s="1"/>
    </row>
    <row r="78" spans="1:17" ht="17.25">
      <c r="A78" s="1"/>
      <c r="B78" s="1"/>
      <c r="C78" s="1"/>
      <c r="D78" s="1"/>
      <c r="E78" s="112"/>
      <c r="F78" s="112"/>
      <c r="G78" s="30"/>
      <c r="H78" s="112"/>
      <c r="I78" s="1"/>
      <c r="J78" s="1"/>
      <c r="K78" s="1"/>
      <c r="L78" s="1"/>
      <c r="M78" s="1"/>
      <c r="N78" s="112"/>
      <c r="O78" s="112"/>
      <c r="P78" s="30"/>
      <c r="Q78" s="112"/>
    </row>
    <row r="79" spans="1:17" ht="17.25">
      <c r="A79" s="1"/>
      <c r="B79" s="1"/>
      <c r="C79" s="1"/>
      <c r="D79" s="1"/>
      <c r="E79" s="113"/>
      <c r="F79" s="114" t="s">
        <v>3</v>
      </c>
      <c r="G79" s="115">
        <f>SUM(G74:G77)</f>
        <v>0</v>
      </c>
      <c r="H79" s="116">
        <f>SUM(H74:H78)</f>
        <v>682000</v>
      </c>
      <c r="I79" s="1"/>
      <c r="J79" s="1"/>
      <c r="K79" s="1"/>
      <c r="L79" s="1"/>
      <c r="M79" s="1"/>
      <c r="N79" s="113"/>
      <c r="O79" s="114" t="s">
        <v>3</v>
      </c>
      <c r="P79" s="115">
        <f>SUM(P74:P77)</f>
        <v>0</v>
      </c>
      <c r="Q79" s="116">
        <f>SUM(Q74:Q78)</f>
        <v>19833000</v>
      </c>
    </row>
    <row r="80" spans="1:17" ht="17.25">
      <c r="I80" s="1"/>
    </row>
    <row r="81" spans="1:17" ht="18.75">
      <c r="A81" s="117" t="s">
        <v>36</v>
      </c>
      <c r="B81" s="118"/>
      <c r="C81" s="118"/>
      <c r="D81" s="118"/>
      <c r="E81" s="272">
        <f>H79</f>
        <v>682000</v>
      </c>
      <c r="F81" s="273"/>
      <c r="G81" s="273"/>
      <c r="H81" s="274"/>
      <c r="I81" s="1"/>
      <c r="J81" s="117" t="s">
        <v>36</v>
      </c>
      <c r="K81" s="118"/>
      <c r="L81" s="118"/>
      <c r="M81" s="118"/>
      <c r="N81" s="272">
        <f>Q79</f>
        <v>19833000</v>
      </c>
      <c r="O81" s="273"/>
      <c r="P81" s="273"/>
      <c r="Q81" s="274"/>
    </row>
    <row r="82" spans="1:17" ht="18.75">
      <c r="A82" s="119" t="s">
        <v>68</v>
      </c>
      <c r="B82" s="120"/>
      <c r="C82" s="120"/>
      <c r="D82" s="120"/>
      <c r="E82" s="284" t="s">
        <v>87</v>
      </c>
      <c r="F82" s="284"/>
      <c r="G82" s="284"/>
      <c r="H82" s="284"/>
      <c r="I82" s="1"/>
      <c r="J82" s="119" t="s">
        <v>68</v>
      </c>
      <c r="K82" s="120"/>
      <c r="L82" s="120"/>
      <c r="M82" s="120"/>
      <c r="N82" s="284" t="s">
        <v>87</v>
      </c>
      <c r="O82" s="284"/>
      <c r="P82" s="284"/>
      <c r="Q82" s="284"/>
    </row>
    <row r="83" spans="1:17" ht="17.25">
      <c r="I83" s="1"/>
    </row>
    <row r="84" spans="1:17" ht="19.5">
      <c r="A84" s="121" t="s">
        <v>45</v>
      </c>
      <c r="B84" s="122"/>
      <c r="C84" s="122"/>
      <c r="D84" s="122"/>
      <c r="E84" s="122"/>
      <c r="F84" s="122"/>
      <c r="G84" s="122"/>
      <c r="H84" s="123"/>
      <c r="J84" s="121" t="s">
        <v>45</v>
      </c>
      <c r="K84" s="122"/>
      <c r="L84" s="122"/>
      <c r="M84" s="122"/>
      <c r="N84" s="122"/>
      <c r="O84" s="122"/>
      <c r="P84" s="122"/>
      <c r="Q84" s="123"/>
    </row>
    <row r="85" spans="1:17" ht="17.25">
      <c r="I85" s="1"/>
    </row>
    <row r="86" spans="1:17" ht="17.25">
      <c r="A86" s="124" t="s">
        <v>22</v>
      </c>
      <c r="B86" s="125"/>
      <c r="C86" s="125"/>
      <c r="D86" s="126"/>
      <c r="E86" s="275">
        <f>IF($E$82="Medium",IF($E$81&gt;Data!D48,IF($E$81&gt;Data!D49,IF($E$81&gt;Data!D50,IF($E$81&gt;Data!D51,IF($E$81&gt;Data!D52,IF($E$81&gt;Data!D53,IF($E$81&gt;Data!D54,IF($E$81&gt;Data!D55,IF($E$81&gt;Data!D56,IF($E$81&gt;Data!D57,IF($E$81&gt;Data!D58,Data!E59,Data!E58),Data!E57),Data!E56),Data!E55),Data!E54),Data!E53),Data!E52),Data!E51),Data!E50),Data!E49),Data!E48),IF($E$82="High",(IF($E$81&gt;Data!D29,IF($E$81&gt;Data!D30,IF($E$81&gt;Data!D31,IF($E$81&gt;Data!D32,IF($E$81&gt;Data!D33,IF($E$81&gt;Data!D34,IF($E$81&gt;Data!D35,IF($E$81&gt;Data!D36,IF($E$81&gt;Data!D37,IF($E$81&gt;Data!D38,IF($E$81&gt;Data!D39,Data!E40,Data!E39),Data!E37),Data!E36),Data!E35),Data!E34),Data!E33),Data!E52),Data!E32),Data!E31),Data!E30),Data!E29)),IF($E$82="Low",(IF($E$81&gt;Data!D67,IF($E$81&gt;Data!D68,IF($E$81&gt;Data!D69,IF($E$81&gt;Data!D70,IF($E$81&gt;Data!D71,IF($E$81&gt;Data!D72,IF($E$81&gt;Data!D73,IF($E$81&gt;Data!D74,IF($E$81&gt;Data!D75,IF($E$81&gt;Data!D76,IF($E$81&gt;Data!D77,Data!E78,Data!E77),Data!E76),Data!E75),Data!E74),Data!E73),Data!E72),Data!E71),Data!E70),Data!E69),Data!E68),Data!E67)))))</f>
        <v>110217.17</v>
      </c>
      <c r="F86" s="276"/>
      <c r="G86" s="276"/>
      <c r="H86" s="277"/>
      <c r="I86" s="1"/>
      <c r="J86" s="124" t="s">
        <v>22</v>
      </c>
      <c r="K86" s="125"/>
      <c r="L86" s="125"/>
      <c r="M86" s="126"/>
      <c r="N86" s="275">
        <f>IF($N$82="Medium",IF($N$81&gt;Data!D48,IF($N$81&gt;Data!D49,IF($N$81&gt;Data!D50,IF($N$81&gt;Data!D51,IF($N$81&gt;Data!D52,IF($N$81&gt;Data!D53,IF($N$81&gt;Data!D54,IF($N$81&gt;Data!D55,IF($N$81&gt;Data!D56,IF($N$81&gt;Data!D57,IF($N$81&gt;Data!D58,Data!E59,Data!E58),Data!E57),Data!E56),Data!E55),Data!E54),Data!E53),Data!E52),Data!E51),Data!E50),Data!E49),Data!E48),IF($N$82="High",(IF($N$81&gt;Data!D29,IF($N$81&gt;Data!D30,IF($N$81&gt;Data!D31,IF($N$81&gt;Data!D32,IF($N$81&gt;Data!D33,IF($N$81&gt;Data!D34,IF($N$81&gt;Data!D35,IF($N$81&gt;Data!D36,IF($N$81&gt;Data!D37,IF($N$81&gt;Data!D38,IF($N$81&gt;Data!D39,Data!E40,Data!E39),Data!E37),Data!E36),Data!E35),Data!E34),Data!E33),Data!E52),Data!E32),Data!E31),Data!E30),Data!E29)),IF($N$82="Low",(IF($N$81&gt;Data!D67,IF($N$81&gt;Data!D68,IF($N$81&gt;Data!D69,IF($N$81&gt;Data!D70,IF($N$81&gt;Data!D71,IF($N$81&gt;Data!D72,IF($N$81&gt;Data!D73,IF($N$81&gt;Data!D74,IF($N$81&gt;Data!D75,IF($N$81&gt;Data!D76,IF($N$81&gt;Data!D77,Data!E78,Data!E77),Data!E76),Data!E75),Data!E74),Data!E73),Data!E72),Data!E71),Data!E70),Data!E69),Data!E68),Data!E67)))))</f>
        <v>1231500.08</v>
      </c>
      <c r="O86" s="276"/>
      <c r="P86" s="276"/>
      <c r="Q86" s="277"/>
    </row>
    <row r="87" spans="1:17" ht="17.25">
      <c r="A87" s="127" t="s">
        <v>50</v>
      </c>
      <c r="B87" s="128"/>
      <c r="C87" s="128"/>
      <c r="D87" s="129"/>
      <c r="E87" s="267">
        <f>IF($E$82="Medium",($E$81-(VLOOKUP($E$86,Data!E48:G59,3,FALSE)))*(VLOOKUP($E$86,Data!E48:G59,2,FALSE)),IF($E$82="High",($E$81-(VLOOKUP($E$86,Data!E29:G40,3,FALSE)))*(VLOOKUP($E$86,Data!E29:G40,2,FALSE)),IF($E$82="Low",($E$81-(VLOOKUP($E$86,Data!E66:G78,3,FALSE)))*(VLOOKUP($E$86,Data!E66:G78,2,FALSE)))))</f>
        <v>3587.0879</v>
      </c>
      <c r="F87" s="268"/>
      <c r="G87" s="268"/>
      <c r="H87" s="269"/>
      <c r="I87" s="1"/>
      <c r="J87" s="127" t="s">
        <v>50</v>
      </c>
      <c r="K87" s="128"/>
      <c r="L87" s="128"/>
      <c r="M87" s="129"/>
      <c r="N87" s="267">
        <f>IF($N$82="Medium",($N$81-(VLOOKUP($N$86,Data!E48:G59,3,FALSE)))*(VLOOKUP($N$86,Data!E48:G59,2,FALSE)),IF($N$82="High",($N$81-(VLOOKUP($N$86,Data!E29:G40,3,FALSE)))*(VLOOKUP($N$86,Data!E29:G40,2,FALSE)),IF($N$82="Low",($N$81-(VLOOKUP($N$86,Data!E66:G78,3,FALSE)))*(VLOOKUP($N$86,Data!E66:G78,2,FALSE)))))</f>
        <v>545956.62009999994</v>
      </c>
      <c r="O87" s="268"/>
      <c r="P87" s="268"/>
      <c r="Q87" s="269"/>
    </row>
    <row r="88" spans="1:17" ht="17.25">
      <c r="A88" s="127"/>
      <c r="B88" s="128"/>
      <c r="C88" s="128"/>
      <c r="D88" s="129"/>
      <c r="E88" s="267">
        <f>E86+E87</f>
        <v>113804.2579</v>
      </c>
      <c r="F88" s="268"/>
      <c r="G88" s="268"/>
      <c r="H88" s="269"/>
      <c r="J88" s="127"/>
      <c r="K88" s="128"/>
      <c r="L88" s="128"/>
      <c r="M88" s="129"/>
      <c r="N88" s="267">
        <f>N86+N87</f>
        <v>1777456.7001</v>
      </c>
      <c r="O88" s="268"/>
      <c r="P88" s="268"/>
      <c r="Q88" s="269"/>
    </row>
    <row r="89" spans="1:17" ht="17.25">
      <c r="A89" s="127" t="s">
        <v>53</v>
      </c>
      <c r="B89" s="128"/>
      <c r="C89" s="128"/>
      <c r="D89" s="129"/>
      <c r="E89" s="261">
        <v>0</v>
      </c>
      <c r="F89" s="262"/>
      <c r="G89" s="262"/>
      <c r="H89" s="263"/>
      <c r="J89" s="127" t="s">
        <v>53</v>
      </c>
      <c r="K89" s="128"/>
      <c r="L89" s="128"/>
      <c r="M89" s="129"/>
      <c r="N89" s="261">
        <v>0</v>
      </c>
      <c r="O89" s="262"/>
      <c r="P89" s="262"/>
      <c r="Q89" s="263"/>
    </row>
    <row r="90" spans="1:17" ht="18">
      <c r="A90" s="131" t="s">
        <v>55</v>
      </c>
      <c r="B90" s="132"/>
      <c r="C90" s="132"/>
      <c r="D90" s="133"/>
      <c r="E90" s="264">
        <f>E88+E89</f>
        <v>113804.2579</v>
      </c>
      <c r="F90" s="265"/>
      <c r="G90" s="265"/>
      <c r="H90" s="266"/>
      <c r="J90" s="131" t="s">
        <v>55</v>
      </c>
      <c r="K90" s="132"/>
      <c r="L90" s="132"/>
      <c r="M90" s="133"/>
      <c r="N90" s="264">
        <f>N88+N89</f>
        <v>1777456.7001</v>
      </c>
      <c r="O90" s="265"/>
      <c r="P90" s="265"/>
      <c r="Q90" s="266"/>
    </row>
    <row r="92" spans="1:17" ht="18.75">
      <c r="A92" s="134" t="s">
        <v>37</v>
      </c>
      <c r="B92" s="135"/>
      <c r="C92" s="135"/>
      <c r="D92" s="136"/>
      <c r="E92" s="137" t="s">
        <v>38</v>
      </c>
      <c r="F92" s="137" t="s">
        <v>92</v>
      </c>
      <c r="G92" s="138" t="s">
        <v>62</v>
      </c>
      <c r="H92" s="137" t="s">
        <v>91</v>
      </c>
      <c r="J92" s="134" t="s">
        <v>37</v>
      </c>
      <c r="K92" s="135"/>
      <c r="L92" s="135"/>
      <c r="M92" s="136"/>
      <c r="N92" s="137" t="s">
        <v>38</v>
      </c>
      <c r="O92" s="137" t="s">
        <v>92</v>
      </c>
      <c r="P92" s="138" t="s">
        <v>62</v>
      </c>
      <c r="Q92" s="137" t="s">
        <v>91</v>
      </c>
    </row>
    <row r="93" spans="1:17" ht="17.25">
      <c r="A93" s="139" t="s">
        <v>43</v>
      </c>
      <c r="B93" s="140"/>
      <c r="C93" s="111"/>
      <c r="D93" s="111" t="s">
        <v>44</v>
      </c>
      <c r="E93" s="141">
        <v>0.4</v>
      </c>
      <c r="F93" s="142">
        <f>$E$90*E93</f>
        <v>45521.703160000005</v>
      </c>
      <c r="G93" s="141">
        <v>0</v>
      </c>
      <c r="H93" s="143">
        <f>IF(G93=0,F93,F93-(F93*G93))</f>
        <v>45521.703160000005</v>
      </c>
      <c r="J93" s="139" t="s">
        <v>43</v>
      </c>
      <c r="K93" s="111" t="s">
        <v>44</v>
      </c>
      <c r="L93" s="111"/>
      <c r="M93" s="111"/>
      <c r="N93" s="141">
        <v>0.4</v>
      </c>
      <c r="O93" s="142">
        <f>$N$90*N93</f>
        <v>710982.68004000001</v>
      </c>
      <c r="P93" s="141">
        <v>0</v>
      </c>
      <c r="Q93" s="143">
        <f>IF(P93=0,O93,O93-(O93*P93))</f>
        <v>710982.68004000001</v>
      </c>
    </row>
    <row r="94" spans="1:17" ht="17.25">
      <c r="A94" s="144" t="s">
        <v>46</v>
      </c>
      <c r="B94" s="145"/>
      <c r="C94" s="30"/>
      <c r="D94" s="30" t="s">
        <v>47</v>
      </c>
      <c r="E94" s="76">
        <v>0.2</v>
      </c>
      <c r="F94" s="75">
        <f>$E$90*E94</f>
        <v>22760.851580000002</v>
      </c>
      <c r="G94" s="76">
        <v>0</v>
      </c>
      <c r="H94" s="146">
        <f>IF(G94=0,F94,F94-(F94*G94))</f>
        <v>22760.851580000002</v>
      </c>
      <c r="J94" s="144" t="s">
        <v>46</v>
      </c>
      <c r="K94" s="30" t="s">
        <v>47</v>
      </c>
      <c r="L94" s="30"/>
      <c r="M94" s="30"/>
      <c r="N94" s="76">
        <v>0.2</v>
      </c>
      <c r="O94" s="75">
        <f>$N$90*N94</f>
        <v>355491.34002</v>
      </c>
      <c r="P94" s="76">
        <v>0</v>
      </c>
      <c r="Q94" s="146">
        <f>IF(P94=0,O94,O94-(O94*P94))</f>
        <v>355491.34002</v>
      </c>
    </row>
    <row r="95" spans="1:17" ht="17.25">
      <c r="A95" s="144" t="s">
        <v>58</v>
      </c>
      <c r="B95" s="145"/>
      <c r="C95" s="30"/>
      <c r="D95" s="30" t="s">
        <v>48</v>
      </c>
      <c r="E95" s="76">
        <v>0.1</v>
      </c>
      <c r="F95" s="75">
        <f>$E$90*E95</f>
        <v>11380.425790000001</v>
      </c>
      <c r="G95" s="76">
        <v>1</v>
      </c>
      <c r="H95" s="146">
        <f>IF(G95=0,F95,F95-(F95*G95))</f>
        <v>0</v>
      </c>
      <c r="J95" s="144" t="s">
        <v>58</v>
      </c>
      <c r="K95" s="30" t="s">
        <v>48</v>
      </c>
      <c r="L95" s="30"/>
      <c r="M95" s="30"/>
      <c r="N95" s="76">
        <v>0.1</v>
      </c>
      <c r="O95" s="75">
        <f>$N$90*N95</f>
        <v>177745.67001</v>
      </c>
      <c r="P95" s="76">
        <v>1</v>
      </c>
      <c r="Q95" s="146">
        <f>IF(P95=0,O95,O95-(O95*P95))</f>
        <v>0</v>
      </c>
    </row>
    <row r="96" spans="1:17" ht="17.25">
      <c r="A96" s="147" t="s">
        <v>51</v>
      </c>
      <c r="B96" s="148"/>
      <c r="C96" s="149"/>
      <c r="D96" s="149" t="s">
        <v>52</v>
      </c>
      <c r="E96" s="150">
        <v>0.3</v>
      </c>
      <c r="F96" s="151">
        <f>$E$90*E96</f>
        <v>34141.277369999996</v>
      </c>
      <c r="G96" s="150">
        <v>1</v>
      </c>
      <c r="H96" s="152">
        <f>IF(G96=0,F96,F96-(F96*G96))</f>
        <v>0</v>
      </c>
      <c r="J96" s="147" t="s">
        <v>51</v>
      </c>
      <c r="K96" s="149" t="s">
        <v>52</v>
      </c>
      <c r="L96" s="149"/>
      <c r="M96" s="149"/>
      <c r="N96" s="150">
        <v>0.3</v>
      </c>
      <c r="O96" s="151">
        <f>$N$90*N96</f>
        <v>533237.01003</v>
      </c>
      <c r="P96" s="150">
        <v>1</v>
      </c>
      <c r="Q96" s="152">
        <f>IF(P96=0,O96,O96-(O96*P96))</f>
        <v>0</v>
      </c>
    </row>
    <row r="97" spans="1:17" ht="17.25">
      <c r="A97" s="1"/>
      <c r="B97" s="1"/>
      <c r="C97" s="1"/>
      <c r="F97" s="1"/>
      <c r="G97" s="30"/>
      <c r="H97" s="1"/>
      <c r="J97" s="1"/>
      <c r="K97" s="1"/>
      <c r="L97" s="1"/>
      <c r="O97" s="1"/>
      <c r="P97" s="111"/>
      <c r="Q97" s="1"/>
    </row>
    <row r="98" spans="1:17" ht="18.75">
      <c r="A98" s="1"/>
      <c r="B98" s="1"/>
      <c r="C98" s="1"/>
      <c r="E98" s="281" t="s">
        <v>74</v>
      </c>
      <c r="F98" s="282"/>
      <c r="G98" s="283"/>
      <c r="H98" s="153">
        <f>H99*(1-(SUM(H93:H96)/H99))</f>
        <v>45521.70315999999</v>
      </c>
      <c r="J98" s="1"/>
      <c r="K98" s="1"/>
      <c r="L98" s="1"/>
      <c r="N98" s="281" t="s">
        <v>74</v>
      </c>
      <c r="O98" s="282"/>
      <c r="P98" s="283"/>
      <c r="Q98" s="153">
        <f>Q99*(1-(SUM(Q93:Q96)/Q99))</f>
        <v>710982.68004000001</v>
      </c>
    </row>
    <row r="99" spans="1:17" ht="18.75">
      <c r="B99" s="11"/>
      <c r="C99" s="11"/>
      <c r="E99" s="281" t="s">
        <v>54</v>
      </c>
      <c r="F99" s="282"/>
      <c r="G99" s="283"/>
      <c r="H99" s="153">
        <f>SUM(F93:F96)</f>
        <v>113804.2579</v>
      </c>
      <c r="K99" s="11"/>
      <c r="L99" s="11"/>
      <c r="N99" s="281" t="s">
        <v>54</v>
      </c>
      <c r="O99" s="282"/>
      <c r="P99" s="283"/>
      <c r="Q99" s="153">
        <f>SUM(O93:O96)</f>
        <v>1777456.7001</v>
      </c>
    </row>
    <row r="101" spans="1:17" ht="18">
      <c r="E101" s="278" t="s">
        <v>89</v>
      </c>
      <c r="F101" s="279"/>
      <c r="G101" s="280"/>
      <c r="H101" s="154">
        <f>H99-H98</f>
        <v>68282.554740000007</v>
      </c>
      <c r="N101" s="278" t="s">
        <v>89</v>
      </c>
      <c r="O101" s="279"/>
      <c r="P101" s="280"/>
      <c r="Q101" s="154">
        <f>Q99-Q98</f>
        <v>1066474.02006</v>
      </c>
    </row>
    <row r="102" spans="1:17" ht="17.25">
      <c r="A102" s="1"/>
      <c r="B102" s="155"/>
      <c r="C102" s="155"/>
      <c r="D102" s="155"/>
      <c r="E102" s="112"/>
      <c r="F102" s="156"/>
      <c r="G102" s="17"/>
      <c r="H102" s="130"/>
    </row>
    <row r="104" spans="1:17" ht="17.2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7" ht="29.25">
      <c r="A105" s="100" t="s">
        <v>122</v>
      </c>
      <c r="J105" s="100" t="s">
        <v>121</v>
      </c>
    </row>
    <row r="107" spans="1:17" ht="18.75">
      <c r="A107" s="101" t="s">
        <v>61</v>
      </c>
      <c r="B107" s="102"/>
      <c r="C107" s="103"/>
      <c r="D107" s="1"/>
      <c r="E107" s="1"/>
      <c r="F107" s="1"/>
      <c r="G107" s="1"/>
      <c r="H107" s="1"/>
      <c r="J107" s="101" t="s">
        <v>61</v>
      </c>
      <c r="K107" s="102"/>
      <c r="L107" s="103"/>
      <c r="M107" s="1"/>
      <c r="N107" s="1"/>
      <c r="O107" s="1"/>
      <c r="P107" s="1"/>
      <c r="Q107" s="1"/>
    </row>
    <row r="108" spans="1:17" ht="17.25">
      <c r="A108" s="104" t="s">
        <v>15</v>
      </c>
      <c r="B108" s="105"/>
      <c r="C108" s="105"/>
      <c r="D108" s="106"/>
      <c r="E108" s="107"/>
      <c r="F108" s="105" t="s">
        <v>63</v>
      </c>
      <c r="G108" s="107" t="s">
        <v>16</v>
      </c>
      <c r="H108" s="108" t="s">
        <v>71</v>
      </c>
      <c r="I108" s="1"/>
      <c r="J108" s="104" t="s">
        <v>15</v>
      </c>
      <c r="K108" s="105"/>
      <c r="L108" s="105"/>
      <c r="M108" s="106"/>
      <c r="N108" s="107"/>
      <c r="O108" s="105" t="s">
        <v>63</v>
      </c>
      <c r="P108" s="107" t="s">
        <v>16</v>
      </c>
      <c r="Q108" s="108" t="s">
        <v>71</v>
      </c>
    </row>
    <row r="109" spans="1:17" ht="17.25">
      <c r="A109" s="109"/>
      <c r="B109" s="109"/>
      <c r="C109" s="109"/>
      <c r="D109" s="109"/>
      <c r="E109" s="110"/>
      <c r="F109" s="110"/>
      <c r="G109" s="111"/>
      <c r="H109" s="110"/>
      <c r="J109" s="109"/>
      <c r="K109" s="109"/>
      <c r="L109" s="109"/>
      <c r="M109" s="109"/>
      <c r="N109" s="110"/>
      <c r="O109" s="110"/>
      <c r="P109" s="111"/>
      <c r="Q109" s="110"/>
    </row>
    <row r="110" spans="1:17" ht="17.25">
      <c r="A110" s="17" t="s">
        <v>113</v>
      </c>
      <c r="C110" s="17"/>
      <c r="D110" s="1"/>
      <c r="E110" s="112"/>
      <c r="F110" s="112"/>
      <c r="G110" s="30"/>
      <c r="H110" s="112">
        <f>E28</f>
        <v>1375000</v>
      </c>
      <c r="J110" s="17" t="s">
        <v>113</v>
      </c>
      <c r="L110" s="17"/>
      <c r="M110" s="1"/>
      <c r="N110" s="112"/>
      <c r="O110" s="112"/>
      <c r="P110" s="30"/>
      <c r="Q110" s="112">
        <f>H28</f>
        <v>36157000</v>
      </c>
    </row>
    <row r="112" spans="1:17" ht="17.25">
      <c r="A112" s="1"/>
      <c r="B112" s="1"/>
      <c r="C112" s="1"/>
      <c r="D112" s="1"/>
      <c r="E112" s="113"/>
      <c r="F112" s="114" t="s">
        <v>3</v>
      </c>
      <c r="G112" s="115">
        <f>SUM(G109:G111)</f>
        <v>0</v>
      </c>
      <c r="H112" s="116">
        <f>SUM(H109:H111)</f>
        <v>1375000</v>
      </c>
      <c r="J112" s="1"/>
      <c r="K112" s="1"/>
      <c r="L112" s="1"/>
      <c r="M112" s="1"/>
      <c r="N112" s="113"/>
      <c r="O112" s="114" t="s">
        <v>3</v>
      </c>
      <c r="P112" s="115">
        <f>SUM(P109:P111)</f>
        <v>0</v>
      </c>
      <c r="Q112" s="116">
        <f>SUM(Q109:Q111)</f>
        <v>36157000</v>
      </c>
    </row>
    <row r="114" spans="1:17" ht="18">
      <c r="A114" s="117" t="s">
        <v>36</v>
      </c>
      <c r="B114" s="118"/>
      <c r="C114" s="118"/>
      <c r="D114" s="118"/>
      <c r="E114" s="272">
        <f>H112</f>
        <v>1375000</v>
      </c>
      <c r="F114" s="273"/>
      <c r="G114" s="273"/>
      <c r="H114" s="274"/>
      <c r="J114" s="117" t="s">
        <v>36</v>
      </c>
      <c r="K114" s="118"/>
      <c r="L114" s="118"/>
      <c r="M114" s="118"/>
      <c r="N114" s="272">
        <f>Q112</f>
        <v>36157000</v>
      </c>
      <c r="O114" s="273"/>
      <c r="P114" s="273"/>
      <c r="Q114" s="274"/>
    </row>
    <row r="115" spans="1:17" ht="18.75">
      <c r="A115" s="119" t="s">
        <v>68</v>
      </c>
      <c r="B115" s="120"/>
      <c r="C115" s="120"/>
      <c r="D115" s="120"/>
      <c r="E115" s="284" t="s">
        <v>87</v>
      </c>
      <c r="F115" s="284"/>
      <c r="G115" s="284"/>
      <c r="H115" s="284"/>
      <c r="J115" s="119" t="s">
        <v>68</v>
      </c>
      <c r="K115" s="120"/>
      <c r="L115" s="120"/>
      <c r="M115" s="120"/>
      <c r="N115" s="284" t="s">
        <v>87</v>
      </c>
      <c r="O115" s="284"/>
      <c r="P115" s="284"/>
      <c r="Q115" s="284"/>
    </row>
    <row r="117" spans="1:17" ht="19.5">
      <c r="A117" s="121" t="s">
        <v>45</v>
      </c>
      <c r="B117" s="122"/>
      <c r="C117" s="122"/>
      <c r="D117" s="122"/>
      <c r="E117" s="122"/>
      <c r="F117" s="122"/>
      <c r="G117" s="122"/>
      <c r="H117" s="123"/>
      <c r="J117" s="121" t="s">
        <v>45</v>
      </c>
      <c r="K117" s="122"/>
      <c r="L117" s="122"/>
      <c r="M117" s="122"/>
      <c r="N117" s="122"/>
      <c r="O117" s="122"/>
      <c r="P117" s="122"/>
      <c r="Q117" s="123"/>
    </row>
    <row r="119" spans="1:17" ht="17.25">
      <c r="A119" s="124" t="s">
        <v>22</v>
      </c>
      <c r="B119" s="125"/>
      <c r="C119" s="125"/>
      <c r="D119" s="126"/>
      <c r="E119" s="275">
        <f>IF($E$115="Medium",IF($E$114&gt;Data!D48,IF($E$114&gt;Data!D49,IF($E$114&gt;Data!D50,IF($E$114&gt;Data!D51,IF($E$114&gt;Data!D52,IF($E$114&gt;Data!D53,IF($E$114&gt;Data!D54,IF($E$114&gt;Data!D55,IF($E$114&gt;Data!D56,IF($E$114&gt;Data!D57,IF($E$114&gt;Data!D58,Data!E59,Data!E58),Data!E57),Data!E56),Data!E55),Data!E54),Data!E53),Data!E52),Data!E51),Data!E50),Data!E49),Data!E48),IF($E$115="High",(IF($E$114&gt;Data!D29,IF($E$114&gt;Data!D30,IF($E$114&gt;Data!D31,IF($E$114&gt;Data!D32,IF($E$114&gt;Data!D33,IF($E$114&gt;Data!D34,IF($E$114&gt;Data!D35,IF($E$114&gt;Data!D36,IF($E$114&gt;Data!D37,IF($E$114&gt;Data!D38,IF($E$114&gt;Data!D39,Data!E40,Data!E39),Data!E37),Data!E36),Data!E35),Data!E34),Data!E33),Data!E52),Data!E32),Data!E31),Data!E30),Data!E29)),IF($E$115="Low",(IF($E$114&gt;Data!D67,IF($E$114&gt;Data!D68,IF($E$114&gt;Data!D69,IF($E$114&gt;Data!D70,IF($E$114&gt;Data!D71,IF($E$114&gt;Data!D72,IF($E$114&gt;Data!D73,IF($E$114&gt;Data!D74,IF($E$114&gt;Data!D75,IF($E$114&gt;Data!D76,IF($E$114&gt;Data!D77,Data!E78,Data!E77),Data!E76),Data!E75),Data!E74),Data!E73),Data!E72),Data!E71),Data!E70),Data!E69),Data!E68),Data!E67)))))</f>
        <v>110217.17</v>
      </c>
      <c r="F119" s="276"/>
      <c r="G119" s="276"/>
      <c r="H119" s="277"/>
      <c r="J119" s="124" t="s">
        <v>22</v>
      </c>
      <c r="K119" s="125"/>
      <c r="L119" s="125"/>
      <c r="M119" s="126"/>
      <c r="N119" s="275">
        <f>IF($N$115="Medium",IF($N$114&gt;Data!D48,IF($N$114&gt;Data!D49,IF($N$114&gt;Data!D50,IF($N$114&gt;Data!D51,IF($N$114&gt;Data!D52,IF($N$114&gt;Data!D53,IF($N$114&gt;Data!D54,IF($N$114&gt;Data!D55,IF($N$114&gt;Data!D56,IF($N$114&gt;Data!D57,IF($N$114&gt;Data!D58,Data!E59,Data!E58),Data!E57),Data!E56),Data!E55),Data!E54),Data!E53),Data!E52),Data!E51),Data!E50),Data!E49),Data!E48),IF($N$115="High",(IF($N$114&gt;Data!D29,IF($N$114&gt;Data!D30,IF($N$114&gt;Data!D31,IF($N$114&gt;Data!D32,IF($N$114&gt;Data!D33,IF($N$114&gt;Data!D34,IF($N$114&gt;Data!D35,IF($N$114&gt;Data!D36,IF($N$114&gt;Data!D37,IF($N$114&gt;Data!D38,IF($N$114&gt;Data!D39,Data!E40,Data!E39),Data!E37),Data!E36),Data!E35),Data!E34),Data!E33),Data!E52),Data!E32),Data!E31),Data!E30),Data!E29)),IF($N$115="Low",(IF($N$114&gt;Data!D67,IF($N$114&gt;Data!D68,IF($N$114&gt;Data!D69,IF($N$114&gt;Data!D70,IF($N$114&gt;Data!D71,IF($N$114&gt;Data!D72,IF($N$114&gt;Data!D73,IF($N$114&gt;Data!D74,IF($N$114&gt;Data!D75,IF($N$114&gt;Data!D76,IF($N$114&gt;Data!D77,Data!E78,Data!E77),Data!E76),Data!E75),Data!E74),Data!E73),Data!E72),Data!E71),Data!E70),Data!E69),Data!E68),Data!E67)))))</f>
        <v>1231500.08</v>
      </c>
      <c r="O119" s="276"/>
      <c r="P119" s="276"/>
      <c r="Q119" s="277"/>
    </row>
    <row r="120" spans="1:17" ht="17.25">
      <c r="A120" s="127" t="s">
        <v>50</v>
      </c>
      <c r="B120" s="128"/>
      <c r="C120" s="128"/>
      <c r="D120" s="129"/>
      <c r="E120" s="267">
        <f>IF($E$115="Medium",($E$114-(VLOOKUP($E$119,Data!E48:G59,3,FALSE)))*(VLOOKUP($E$119,Data!E48:G59,2,FALSE)),IF($E$115="High",($E$114-(VLOOKUP($E$119,Data!E29:G40,3,FALSE)))*(VLOOKUP($E$119,Data!E29:G40,2,FALSE)),IF($E$115="Low",($E$114-(VLOOKUP($E$119,Data!E66:G78,3,FALSE)))*(VLOOKUP($E$119,Data!E66:G78,2,FALSE)))))</f>
        <v>81272.387900000002</v>
      </c>
      <c r="F120" s="268"/>
      <c r="G120" s="268"/>
      <c r="H120" s="269"/>
      <c r="J120" s="127" t="s">
        <v>50</v>
      </c>
      <c r="K120" s="128"/>
      <c r="L120" s="128"/>
      <c r="M120" s="129"/>
      <c r="N120" s="267">
        <f>IF($N$115="Medium",($N$114-(VLOOKUP($N$119,Data!E48:G59,3,FALSE)))*(VLOOKUP($N$119,Data!E48:G59,2,FALSE)),IF($N$115="High",($N$114-(VLOOKUP($N$119,Data!E29:G40,3,FALSE)))*(VLOOKUP($N$119,Data!E29:G40,2,FALSE)),IF($N$115="Low",($N$114-(VLOOKUP($N$119,Data!E66:G78,3,FALSE)))*(VLOOKUP($N$119,Data!E66:G78,2,FALSE)))))</f>
        <v>1850244.2201</v>
      </c>
      <c r="O120" s="268"/>
      <c r="P120" s="268"/>
      <c r="Q120" s="269"/>
    </row>
    <row r="121" spans="1:17" ht="17.25">
      <c r="A121" s="127"/>
      <c r="B121" s="128"/>
      <c r="C121" s="128"/>
      <c r="D121" s="129"/>
      <c r="E121" s="267">
        <f>E119+E120</f>
        <v>191489.55790000001</v>
      </c>
      <c r="F121" s="268"/>
      <c r="G121" s="268"/>
      <c r="H121" s="269"/>
      <c r="J121" s="127"/>
      <c r="K121" s="128"/>
      <c r="L121" s="128"/>
      <c r="M121" s="129"/>
      <c r="N121" s="267">
        <f>N119+N120</f>
        <v>3081744.3001000001</v>
      </c>
      <c r="O121" s="268"/>
      <c r="P121" s="268"/>
      <c r="Q121" s="269"/>
    </row>
    <row r="122" spans="1:17" ht="17.25">
      <c r="A122" s="127" t="s">
        <v>53</v>
      </c>
      <c r="B122" s="128"/>
      <c r="C122" s="128"/>
      <c r="D122" s="129"/>
      <c r="E122" s="261">
        <v>0</v>
      </c>
      <c r="F122" s="262"/>
      <c r="G122" s="262"/>
      <c r="H122" s="263"/>
      <c r="J122" s="127" t="s">
        <v>53</v>
      </c>
      <c r="K122" s="128"/>
      <c r="L122" s="128"/>
      <c r="M122" s="129"/>
      <c r="N122" s="261">
        <v>0</v>
      </c>
      <c r="O122" s="262"/>
      <c r="P122" s="262"/>
      <c r="Q122" s="263"/>
    </row>
    <row r="123" spans="1:17" ht="18">
      <c r="A123" s="131" t="s">
        <v>55</v>
      </c>
      <c r="B123" s="132"/>
      <c r="C123" s="132"/>
      <c r="D123" s="133"/>
      <c r="E123" s="264">
        <f>E121+E122</f>
        <v>191489.55790000001</v>
      </c>
      <c r="F123" s="265"/>
      <c r="G123" s="265"/>
      <c r="H123" s="266"/>
      <c r="J123" s="131" t="s">
        <v>55</v>
      </c>
      <c r="K123" s="132"/>
      <c r="L123" s="132"/>
      <c r="M123" s="133"/>
      <c r="N123" s="264">
        <f>N121+N122</f>
        <v>3081744.3001000001</v>
      </c>
      <c r="O123" s="265"/>
      <c r="P123" s="265"/>
      <c r="Q123" s="266"/>
    </row>
    <row r="125" spans="1:17" ht="18.75">
      <c r="A125" s="134" t="s">
        <v>37</v>
      </c>
      <c r="B125" s="135"/>
      <c r="C125" s="135"/>
      <c r="D125" s="136"/>
      <c r="E125" s="137" t="s">
        <v>38</v>
      </c>
      <c r="F125" s="137" t="s">
        <v>92</v>
      </c>
      <c r="G125" s="138" t="s">
        <v>62</v>
      </c>
      <c r="H125" s="137" t="s">
        <v>91</v>
      </c>
      <c r="J125" s="134" t="s">
        <v>37</v>
      </c>
      <c r="K125" s="135"/>
      <c r="L125" s="135"/>
      <c r="M125" s="136"/>
      <c r="N125" s="137" t="s">
        <v>38</v>
      </c>
      <c r="O125" s="137" t="s">
        <v>92</v>
      </c>
      <c r="P125" s="138" t="s">
        <v>62</v>
      </c>
      <c r="Q125" s="137" t="s">
        <v>91</v>
      </c>
    </row>
    <row r="126" spans="1:17" ht="17.25">
      <c r="A126" s="139" t="s">
        <v>43</v>
      </c>
      <c r="B126" s="140"/>
      <c r="C126" s="111"/>
      <c r="D126" s="111" t="s">
        <v>44</v>
      </c>
      <c r="E126" s="141">
        <v>0.4</v>
      </c>
      <c r="F126" s="142">
        <f>$E$123*E126</f>
        <v>76595.823160000014</v>
      </c>
      <c r="G126" s="141">
        <v>0</v>
      </c>
      <c r="H126" s="143">
        <f>IF(G126=0,F126,F126-(F126*G126))</f>
        <v>76595.823160000014</v>
      </c>
      <c r="J126" s="139" t="s">
        <v>43</v>
      </c>
      <c r="K126" s="140"/>
      <c r="L126" s="111"/>
      <c r="M126" s="111" t="s">
        <v>44</v>
      </c>
      <c r="N126" s="141">
        <v>0.4</v>
      </c>
      <c r="O126" s="142">
        <f>$N$123*N126</f>
        <v>1232697.72004</v>
      </c>
      <c r="P126" s="141">
        <v>0</v>
      </c>
      <c r="Q126" s="143">
        <f>IF(P126=0,O126,O126-(O126*P126))</f>
        <v>1232697.72004</v>
      </c>
    </row>
    <row r="127" spans="1:17" ht="17.25">
      <c r="A127" s="144" t="s">
        <v>46</v>
      </c>
      <c r="B127" s="145"/>
      <c r="C127" s="30"/>
      <c r="D127" s="30" t="s">
        <v>47</v>
      </c>
      <c r="E127" s="76">
        <v>0.2</v>
      </c>
      <c r="F127" s="75">
        <f>$E$123*E127</f>
        <v>38297.911580000007</v>
      </c>
      <c r="G127" s="76">
        <v>0</v>
      </c>
      <c r="H127" s="146">
        <f>IF(G127=0,F127,F127-(F127*G127))</f>
        <v>38297.911580000007</v>
      </c>
      <c r="J127" s="144" t="s">
        <v>46</v>
      </c>
      <c r="K127" s="145"/>
      <c r="L127" s="30"/>
      <c r="M127" s="30" t="s">
        <v>47</v>
      </c>
      <c r="N127" s="76">
        <v>0.2</v>
      </c>
      <c r="O127" s="75">
        <f>$N$123*N127</f>
        <v>616348.86002000002</v>
      </c>
      <c r="P127" s="76">
        <v>0</v>
      </c>
      <c r="Q127" s="146">
        <f>IF(P127=0,O127,O127-(O127*P127))</f>
        <v>616348.86002000002</v>
      </c>
    </row>
    <row r="128" spans="1:17" ht="17.25">
      <c r="A128" s="144" t="s">
        <v>58</v>
      </c>
      <c r="B128" s="145"/>
      <c r="C128" s="30"/>
      <c r="D128" s="30" t="s">
        <v>48</v>
      </c>
      <c r="E128" s="76">
        <v>0.1</v>
      </c>
      <c r="F128" s="75">
        <f>$E$123*E128</f>
        <v>19148.955790000004</v>
      </c>
      <c r="G128" s="76">
        <v>1</v>
      </c>
      <c r="H128" s="146">
        <f>IF(G128=0,F128,F128-(F128*G128))</f>
        <v>0</v>
      </c>
      <c r="J128" s="144" t="s">
        <v>58</v>
      </c>
      <c r="K128" s="145"/>
      <c r="L128" s="30"/>
      <c r="M128" s="30" t="s">
        <v>48</v>
      </c>
      <c r="N128" s="76">
        <v>0.1</v>
      </c>
      <c r="O128" s="75">
        <f>$N$123*N128</f>
        <v>308174.43001000001</v>
      </c>
      <c r="P128" s="76">
        <v>1</v>
      </c>
      <c r="Q128" s="146">
        <f>IF(P128=0,O128,O128-(O128*P128))</f>
        <v>0</v>
      </c>
    </row>
    <row r="129" spans="1:17" ht="17.25">
      <c r="A129" s="147" t="s">
        <v>51</v>
      </c>
      <c r="B129" s="148"/>
      <c r="C129" s="149"/>
      <c r="D129" s="149" t="s">
        <v>52</v>
      </c>
      <c r="E129" s="150">
        <v>0.3</v>
      </c>
      <c r="F129" s="151">
        <f>$E$123*E129</f>
        <v>57446.86737</v>
      </c>
      <c r="G129" s="150">
        <v>1</v>
      </c>
      <c r="H129" s="152">
        <f>IF(G129=0,F129,F129-(F129*G129))</f>
        <v>0</v>
      </c>
      <c r="J129" s="147" t="s">
        <v>51</v>
      </c>
      <c r="K129" s="148"/>
      <c r="L129" s="149"/>
      <c r="M129" s="149" t="s">
        <v>52</v>
      </c>
      <c r="N129" s="150">
        <v>0.3</v>
      </c>
      <c r="O129" s="151">
        <f>$N$123*N129</f>
        <v>924523.29003000003</v>
      </c>
      <c r="P129" s="150">
        <v>1</v>
      </c>
      <c r="Q129" s="152">
        <f>IF(P129=0,O129,O129-(O129*P129))</f>
        <v>0</v>
      </c>
    </row>
    <row r="130" spans="1:17" ht="17.25">
      <c r="A130" s="1"/>
      <c r="B130" s="1"/>
      <c r="C130" s="1"/>
      <c r="F130" s="1"/>
      <c r="G130" s="30"/>
      <c r="H130" s="1"/>
      <c r="J130" s="1"/>
      <c r="K130" s="1"/>
      <c r="L130" s="1"/>
      <c r="O130" s="1"/>
      <c r="P130" s="30"/>
      <c r="Q130" s="1"/>
    </row>
    <row r="131" spans="1:17" ht="18.75">
      <c r="A131" s="1"/>
      <c r="B131" s="1"/>
      <c r="C131" s="1"/>
      <c r="E131" s="281" t="s">
        <v>74</v>
      </c>
      <c r="F131" s="282"/>
      <c r="G131" s="283"/>
      <c r="H131" s="153">
        <f>H132*(1-(SUM(H126:H129)/H132))</f>
        <v>76595.823160000014</v>
      </c>
      <c r="I131" s="157"/>
      <c r="J131" s="1"/>
      <c r="K131" s="1"/>
      <c r="L131" s="1"/>
      <c r="N131" s="281" t="s">
        <v>74</v>
      </c>
      <c r="O131" s="282"/>
      <c r="P131" s="283"/>
      <c r="Q131" s="153">
        <f>Q132*(1-(SUM(Q126:Q129)/Q132))</f>
        <v>1232697.7200399996</v>
      </c>
    </row>
    <row r="132" spans="1:17" ht="18.75">
      <c r="B132" s="11"/>
      <c r="C132" s="11"/>
      <c r="E132" s="281" t="s">
        <v>54</v>
      </c>
      <c r="F132" s="282"/>
      <c r="G132" s="283"/>
      <c r="H132" s="153">
        <f>SUM(F126:F129)</f>
        <v>191489.55790000001</v>
      </c>
      <c r="K132" s="11"/>
      <c r="L132" s="11"/>
      <c r="N132" s="281" t="s">
        <v>54</v>
      </c>
      <c r="O132" s="282"/>
      <c r="P132" s="283"/>
      <c r="Q132" s="153">
        <f>SUM(O126:O129)</f>
        <v>3081744.3000999996</v>
      </c>
    </row>
    <row r="134" spans="1:17" ht="18">
      <c r="E134" s="278" t="s">
        <v>89</v>
      </c>
      <c r="F134" s="279"/>
      <c r="G134" s="280"/>
      <c r="H134" s="154">
        <f>H132-H131</f>
        <v>114893.73474</v>
      </c>
      <c r="N134" s="278" t="s">
        <v>89</v>
      </c>
      <c r="O134" s="279"/>
      <c r="P134" s="280"/>
      <c r="Q134" s="154">
        <f>Q132-Q131</f>
        <v>1849046.5800600001</v>
      </c>
    </row>
    <row r="142" spans="1:17" ht="22.5" customHeight="1"/>
    <row r="145" spans="10:12" ht="17.25">
      <c r="J145" s="75"/>
    </row>
    <row r="146" spans="10:12" ht="17.25">
      <c r="J146" s="75"/>
      <c r="K146" s="28"/>
      <c r="L146" s="28"/>
    </row>
    <row r="147" spans="10:12" ht="17.25">
      <c r="J147" s="75"/>
      <c r="K147" s="28"/>
      <c r="L147" s="28"/>
    </row>
    <row r="148" spans="10:12" ht="17.25">
      <c r="J148" s="75"/>
      <c r="K148" s="28"/>
      <c r="L148" s="28"/>
    </row>
    <row r="150" spans="10:12">
      <c r="J150" s="74"/>
    </row>
    <row r="153" spans="10:12">
      <c r="K153" s="158"/>
    </row>
    <row r="154" spans="10:12">
      <c r="K154" s="159"/>
    </row>
  </sheetData>
  <mergeCells count="78">
    <mergeCell ref="O40:P40"/>
    <mergeCell ref="O41:P41"/>
    <mergeCell ref="O42:P42"/>
    <mergeCell ref="O43:P43"/>
    <mergeCell ref="O44:P44"/>
    <mergeCell ref="O45:P45"/>
    <mergeCell ref="O46:P46"/>
    <mergeCell ref="O52:P52"/>
    <mergeCell ref="L52:N52"/>
    <mergeCell ref="O48:P48"/>
    <mergeCell ref="N132:P132"/>
    <mergeCell ref="K32:L32"/>
    <mergeCell ref="N32:O32"/>
    <mergeCell ref="N33:O33"/>
    <mergeCell ref="L34:N34"/>
    <mergeCell ref="O34:P34"/>
    <mergeCell ref="L35:N35"/>
    <mergeCell ref="O35:P35"/>
    <mergeCell ref="E86:H86"/>
    <mergeCell ref="E132:G132"/>
    <mergeCell ref="E134:G134"/>
    <mergeCell ref="E119:H119"/>
    <mergeCell ref="N81:Q81"/>
    <mergeCell ref="N122:Q122"/>
    <mergeCell ref="E131:G131"/>
    <mergeCell ref="N86:Q86"/>
    <mergeCell ref="N121:Q121"/>
    <mergeCell ref="N114:Q114"/>
    <mergeCell ref="N99:P99"/>
    <mergeCell ref="N115:Q115"/>
    <mergeCell ref="N88:Q88"/>
    <mergeCell ref="N98:P98"/>
    <mergeCell ref="N134:P134"/>
    <mergeCell ref="N82:Q82"/>
    <mergeCell ref="E101:G101"/>
    <mergeCell ref="E98:G98"/>
    <mergeCell ref="E87:H87"/>
    <mergeCell ref="E114:H114"/>
    <mergeCell ref="E88:H88"/>
    <mergeCell ref="N131:P131"/>
    <mergeCell ref="C42:D42"/>
    <mergeCell ref="G37:H37"/>
    <mergeCell ref="E89:H89"/>
    <mergeCell ref="E90:H90"/>
    <mergeCell ref="E48:F48"/>
    <mergeCell ref="E82:H82"/>
    <mergeCell ref="C49:D49"/>
    <mergeCell ref="C43:D43"/>
    <mergeCell ref="C48:D48"/>
    <mergeCell ref="E43:F43"/>
    <mergeCell ref="C37:D37"/>
    <mergeCell ref="E49:F49"/>
    <mergeCell ref="G42:H42"/>
    <mergeCell ref="E37:F37"/>
    <mergeCell ref="G48:H48"/>
    <mergeCell ref="N89:Q89"/>
    <mergeCell ref="N123:Q123"/>
    <mergeCell ref="N87:Q87"/>
    <mergeCell ref="A49:B49"/>
    <mergeCell ref="E81:H81"/>
    <mergeCell ref="N90:Q90"/>
    <mergeCell ref="N119:Q119"/>
    <mergeCell ref="N101:P101"/>
    <mergeCell ref="N120:Q120"/>
    <mergeCell ref="G49:H49"/>
    <mergeCell ref="E120:H120"/>
    <mergeCell ref="E121:H121"/>
    <mergeCell ref="E122:H122"/>
    <mergeCell ref="E123:H123"/>
    <mergeCell ref="E115:H115"/>
    <mergeCell ref="E99:G99"/>
    <mergeCell ref="E36:F36"/>
    <mergeCell ref="A48:B48"/>
    <mergeCell ref="A11:H11"/>
    <mergeCell ref="G36:H36"/>
    <mergeCell ref="C36:D36"/>
    <mergeCell ref="G43:H43"/>
    <mergeCell ref="E42:F42"/>
  </mergeCells>
  <dataValidations disablePrompts="1" count="1">
    <dataValidation type="list" allowBlank="1" showInputMessage="1" showErrorMessage="1" sqref="E82 N115 N82 E115" xr:uid="{00000000-0002-0000-0100-000000000000}">
      <formula1>"Low,Medium,High"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555A-BC0F-450E-9DA1-38B19EDB3DF2}">
  <dimension ref="A1:D29"/>
  <sheetViews>
    <sheetView workbookViewId="0">
      <selection activeCell="D15" sqref="D15"/>
    </sheetView>
  </sheetViews>
  <sheetFormatPr defaultRowHeight="15"/>
  <cols>
    <col min="1" max="1" width="21.28515625" customWidth="1"/>
    <col min="2" max="2" width="16.7109375" customWidth="1"/>
    <col min="3" max="3" width="18" customWidth="1"/>
    <col min="4" max="4" width="18.140625" bestFit="1" customWidth="1"/>
    <col min="5" max="5" width="8.140625" customWidth="1"/>
  </cols>
  <sheetData>
    <row r="1" spans="1:4" ht="19.5">
      <c r="A1" s="72" t="s">
        <v>96</v>
      </c>
      <c r="C1" s="73"/>
      <c r="D1" s="73"/>
    </row>
    <row r="2" spans="1:4">
      <c r="A2" s="55" t="s">
        <v>133</v>
      </c>
      <c r="B2" s="36" t="s">
        <v>128</v>
      </c>
      <c r="C2" s="36" t="s">
        <v>129</v>
      </c>
      <c r="D2" s="37" t="s">
        <v>3</v>
      </c>
    </row>
    <row r="3" spans="1:4">
      <c r="A3" t="s">
        <v>127</v>
      </c>
      <c r="B3" s="28">
        <v>45521.703160000005</v>
      </c>
      <c r="C3" s="28">
        <v>248843.93801399998</v>
      </c>
      <c r="D3" s="28">
        <v>397393.61558490002</v>
      </c>
    </row>
    <row r="4" spans="1:4" ht="15.75" thickBot="1">
      <c r="A4" t="s">
        <v>47</v>
      </c>
      <c r="B4" s="28">
        <v>22760.851580000002</v>
      </c>
      <c r="C4" s="28">
        <v>124421.96900699999</v>
      </c>
      <c r="D4" s="28">
        <v>198696.80779245001</v>
      </c>
    </row>
    <row r="5" spans="1:4" ht="15.75" thickBot="1">
      <c r="A5" s="234" t="s">
        <v>136</v>
      </c>
      <c r="B5" s="244" t="s">
        <v>141</v>
      </c>
      <c r="C5" s="241"/>
      <c r="D5" s="243">
        <f>SUM(D3:D4)</f>
        <v>596090.42337734997</v>
      </c>
    </row>
    <row r="7" spans="1:4" ht="19.5">
      <c r="A7" s="72" t="s">
        <v>101</v>
      </c>
      <c r="C7" s="73"/>
    </row>
    <row r="8" spans="1:4">
      <c r="A8" s="55" t="s">
        <v>133</v>
      </c>
      <c r="B8" s="36" t="s">
        <v>128</v>
      </c>
      <c r="C8" s="36" t="s">
        <v>129</v>
      </c>
      <c r="D8" s="37" t="s">
        <v>3</v>
      </c>
    </row>
    <row r="9" spans="1:4">
      <c r="A9" t="s">
        <v>127</v>
      </c>
      <c r="B9" s="28">
        <v>76595.823160000014</v>
      </c>
      <c r="C9" s="28">
        <v>431444.20201399998</v>
      </c>
      <c r="D9" s="28">
        <v>685854.0339849001</v>
      </c>
    </row>
    <row r="10" spans="1:4" ht="15.75" thickBot="1">
      <c r="A10" t="s">
        <v>47</v>
      </c>
      <c r="B10" s="28">
        <v>38297.911580000007</v>
      </c>
      <c r="C10" s="28">
        <v>215722.10100699999</v>
      </c>
      <c r="D10" s="28">
        <v>342927.01699245005</v>
      </c>
    </row>
    <row r="11" spans="1:4" ht="15.75" thickBot="1">
      <c r="A11" s="238" t="s">
        <v>139</v>
      </c>
      <c r="B11" s="244" t="s">
        <v>141</v>
      </c>
      <c r="C11" s="241"/>
      <c r="D11" s="243">
        <f>SUM(D9:D10)</f>
        <v>1028781.0509773502</v>
      </c>
    </row>
    <row r="13" spans="1:4">
      <c r="A13" s="235"/>
      <c r="B13" s="235"/>
      <c r="C13" s="235"/>
      <c r="D13" s="235"/>
    </row>
    <row r="14" spans="1:4" ht="15.75" thickBot="1"/>
    <row r="15" spans="1:4" ht="15.75" thickBot="1">
      <c r="A15" s="238" t="s">
        <v>140</v>
      </c>
      <c r="B15" s="244" t="s">
        <v>141</v>
      </c>
      <c r="C15" s="241">
        <v>1</v>
      </c>
      <c r="D15" s="243">
        <f>SUM(D5+D11)</f>
        <v>1624871.4743547002</v>
      </c>
    </row>
    <row r="17" spans="1:4">
      <c r="A17" s="235"/>
      <c r="B17" s="235"/>
      <c r="C17" s="235"/>
      <c r="D17" s="235"/>
    </row>
    <row r="19" spans="1:4">
      <c r="A19" s="238" t="s">
        <v>137</v>
      </c>
      <c r="B19" s="233"/>
      <c r="C19" s="236" t="s">
        <v>111</v>
      </c>
      <c r="D19" s="37" t="s">
        <v>3</v>
      </c>
    </row>
    <row r="20" spans="1:4">
      <c r="A20" s="240" t="s">
        <v>43</v>
      </c>
      <c r="C20" s="245">
        <v>0.8</v>
      </c>
      <c r="D20" s="239">
        <f>(D3+D9)*C20</f>
        <v>866598.1196558401</v>
      </c>
    </row>
    <row r="21" spans="1:4" ht="15.75" thickBot="1">
      <c r="A21" s="240" t="s">
        <v>138</v>
      </c>
      <c r="C21" s="245">
        <v>0.5</v>
      </c>
      <c r="D21" s="239">
        <f>(D4+D10)*C21</f>
        <v>270811.91239245003</v>
      </c>
    </row>
    <row r="22" spans="1:4" ht="15.75" thickBot="1">
      <c r="A22" s="234" t="s">
        <v>136</v>
      </c>
      <c r="B22" s="244" t="s">
        <v>141</v>
      </c>
      <c r="C22" s="241">
        <f>D22/D15</f>
        <v>0.7</v>
      </c>
      <c r="D22" s="237">
        <f>SUM(D20:D21)</f>
        <v>1137410.0320482901</v>
      </c>
    </row>
    <row r="24" spans="1:4">
      <c r="A24" s="235"/>
      <c r="B24" s="235"/>
      <c r="C24" s="235"/>
      <c r="D24" s="235"/>
    </row>
    <row r="26" spans="1:4">
      <c r="A26" s="234" t="s">
        <v>130</v>
      </c>
      <c r="B26" s="233"/>
      <c r="C26" s="236" t="s">
        <v>111</v>
      </c>
      <c r="D26" s="37" t="s">
        <v>3</v>
      </c>
    </row>
    <row r="27" spans="1:4">
      <c r="A27" t="s">
        <v>131</v>
      </c>
      <c r="C27" s="245">
        <v>0.2</v>
      </c>
      <c r="D27" s="239">
        <f>(D3+D9)*C27</f>
        <v>216649.52991396002</v>
      </c>
    </row>
    <row r="28" spans="1:4" ht="15.75" thickBot="1">
      <c r="A28" t="s">
        <v>132</v>
      </c>
      <c r="C28" s="245">
        <v>0.5</v>
      </c>
      <c r="D28" s="239">
        <f>(D4+D10)*C28</f>
        <v>270811.91239245003</v>
      </c>
    </row>
    <row r="29" spans="1:4" ht="15.75" thickBot="1">
      <c r="A29" s="234" t="s">
        <v>136</v>
      </c>
      <c r="B29" s="244" t="s">
        <v>141</v>
      </c>
      <c r="C29" s="242">
        <f>D29/D15</f>
        <v>0.3</v>
      </c>
      <c r="D29" s="237">
        <f>SUM(D27:D28)</f>
        <v>487461.44230641006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V78"/>
  <sheetViews>
    <sheetView zoomScale="85" workbookViewId="0">
      <selection activeCell="J13" sqref="J13"/>
    </sheetView>
  </sheetViews>
  <sheetFormatPr defaultColWidth="9" defaultRowHeight="17.25"/>
  <cols>
    <col min="1" max="1" width="12.28515625" style="1" customWidth="1"/>
    <col min="2" max="2" width="43" style="1" customWidth="1"/>
    <col min="3" max="3" width="21.28515625" style="1" customWidth="1"/>
    <col min="4" max="4" width="15.42578125" style="1" customWidth="1"/>
    <col min="5" max="5" width="25.85546875" style="1" customWidth="1"/>
    <col min="6" max="6" width="14.28515625" style="1" customWidth="1"/>
    <col min="7" max="7" width="21.42578125" style="1" customWidth="1"/>
    <col min="8" max="8" width="12.140625" style="1" customWidth="1"/>
    <col min="9" max="9" width="9.140625" style="1" customWidth="1"/>
    <col min="10" max="10" width="24.140625" style="1" customWidth="1"/>
    <col min="11" max="11" width="44.85546875" style="1" customWidth="1"/>
    <col min="12" max="12" width="21.85546875" style="1" customWidth="1"/>
    <col min="13" max="13" width="16.28515625" style="1" customWidth="1"/>
    <col min="14" max="14" width="25.85546875" style="1" customWidth="1"/>
    <col min="15" max="15" width="14.28515625" style="1" customWidth="1"/>
    <col min="16" max="16" width="10.7109375" style="1" customWidth="1"/>
    <col min="17" max="17" width="15" style="1" customWidth="1"/>
    <col min="18" max="18" width="13.7109375" style="1" customWidth="1"/>
    <col min="19" max="19" width="21.42578125" style="1" customWidth="1"/>
    <col min="20" max="20" width="12.85546875" style="1" customWidth="1"/>
    <col min="21" max="21" width="28.7109375" style="1" customWidth="1"/>
    <col min="22" max="22" width="10" style="1" customWidth="1"/>
    <col min="23" max="24" width="12.140625" style="1" customWidth="1"/>
    <col min="25" max="256" width="9.140625" style="1" customWidth="1"/>
  </cols>
  <sheetData>
    <row r="3" spans="2:23" ht="18.75">
      <c r="B3" s="160" t="s">
        <v>33</v>
      </c>
      <c r="C3" s="109"/>
      <c r="D3" s="109"/>
      <c r="E3" s="161"/>
      <c r="G3" s="17">
        <v>9</v>
      </c>
    </row>
    <row r="4" spans="2:23">
      <c r="B4" s="162" t="s">
        <v>34</v>
      </c>
      <c r="C4" s="163" t="s">
        <v>35</v>
      </c>
      <c r="D4" s="164"/>
      <c r="E4" s="165" t="s">
        <v>4</v>
      </c>
      <c r="F4" s="166" t="s">
        <v>60</v>
      </c>
      <c r="G4" s="1" t="s">
        <v>66</v>
      </c>
      <c r="H4" s="167" t="s">
        <v>18</v>
      </c>
    </row>
    <row r="5" spans="2:23">
      <c r="B5" s="168">
        <v>686</v>
      </c>
      <c r="C5" s="169">
        <v>5.5</v>
      </c>
      <c r="D5" s="170"/>
      <c r="E5" s="171">
        <f>C5*B5</f>
        <v>3773</v>
      </c>
      <c r="F5" s="172">
        <f>Employees!G19</f>
        <v>672</v>
      </c>
      <c r="G5" s="75">
        <f>F5*G3</f>
        <v>6048</v>
      </c>
      <c r="H5" s="173">
        <f>G5+E5</f>
        <v>9821</v>
      </c>
    </row>
    <row r="7" spans="2:23">
      <c r="B7" s="1" t="s">
        <v>69</v>
      </c>
    </row>
    <row r="8" spans="2:23">
      <c r="M8"/>
      <c r="N8" s="174" t="s">
        <v>37</v>
      </c>
      <c r="O8" s="174"/>
      <c r="P8" s="175" t="s">
        <v>38</v>
      </c>
      <c r="Q8" s="174" t="s">
        <v>39</v>
      </c>
      <c r="R8" s="174" t="s">
        <v>40</v>
      </c>
      <c r="S8" s="174" t="s">
        <v>41</v>
      </c>
      <c r="U8" s="174" t="s">
        <v>42</v>
      </c>
      <c r="V8"/>
      <c r="W8"/>
    </row>
    <row r="9" spans="2:23">
      <c r="B9" s="176" t="s">
        <v>36</v>
      </c>
      <c r="C9" s="177">
        <v>3240000</v>
      </c>
      <c r="M9"/>
      <c r="N9" s="178" t="s">
        <v>43</v>
      </c>
      <c r="O9" s="179" t="s">
        <v>44</v>
      </c>
      <c r="P9" s="180">
        <v>0.4</v>
      </c>
      <c r="Q9" s="181">
        <f>C18*P9</f>
        <v>153063.38892000003</v>
      </c>
      <c r="R9" s="182">
        <v>0</v>
      </c>
      <c r="S9" s="183">
        <f>Q9-W9</f>
        <v>153063.38892000003</v>
      </c>
      <c r="U9" s="184" t="s">
        <v>17</v>
      </c>
      <c r="V9"/>
      <c r="W9" s="185">
        <f>Q9*R9</f>
        <v>0</v>
      </c>
    </row>
    <row r="10" spans="2:23">
      <c r="B10" s="1" t="s">
        <v>68</v>
      </c>
      <c r="C10" s="30" t="s">
        <v>87</v>
      </c>
      <c r="M10"/>
      <c r="N10" s="186" t="s">
        <v>46</v>
      </c>
      <c r="O10" s="187" t="s">
        <v>47</v>
      </c>
      <c r="P10" s="188">
        <v>0.2</v>
      </c>
      <c r="Q10" s="189">
        <f>C18*P10</f>
        <v>76531.694460000013</v>
      </c>
      <c r="R10" s="190">
        <v>0</v>
      </c>
      <c r="S10" s="191">
        <f>Q10-W10</f>
        <v>76531.694460000013</v>
      </c>
      <c r="U10" s="192" t="s">
        <v>17</v>
      </c>
      <c r="V10"/>
      <c r="W10" s="193">
        <f>Q10*R10</f>
        <v>0</v>
      </c>
    </row>
    <row r="11" spans="2:23">
      <c r="M11"/>
      <c r="N11" s="186" t="s">
        <v>58</v>
      </c>
      <c r="O11" s="187" t="s">
        <v>48</v>
      </c>
      <c r="P11" s="188">
        <v>0.1</v>
      </c>
      <c r="Q11" s="189">
        <f>C18*P11</f>
        <v>38265.847230000007</v>
      </c>
      <c r="R11" s="190">
        <v>0</v>
      </c>
      <c r="S11" s="191">
        <f>Q11-W11</f>
        <v>38265.847230000007</v>
      </c>
      <c r="U11" s="192" t="s">
        <v>49</v>
      </c>
      <c r="V11"/>
      <c r="W11" s="193">
        <f>Q11*R11</f>
        <v>0</v>
      </c>
    </row>
    <row r="12" spans="2:23">
      <c r="M12"/>
      <c r="N12" s="194" t="s">
        <v>51</v>
      </c>
      <c r="O12" s="195" t="s">
        <v>52</v>
      </c>
      <c r="P12" s="196">
        <v>0.3</v>
      </c>
      <c r="Q12" s="169">
        <f>C18*P12</f>
        <v>114797.54169</v>
      </c>
      <c r="R12" s="197">
        <v>0</v>
      </c>
      <c r="S12" s="198">
        <f>Q12-W12</f>
        <v>114797.54169</v>
      </c>
      <c r="U12" s="199" t="s">
        <v>49</v>
      </c>
      <c r="V12"/>
      <c r="W12" s="200">
        <f>Q12*R12</f>
        <v>0</v>
      </c>
    </row>
    <row r="13" spans="2:23">
      <c r="B13" s="292" t="s">
        <v>45</v>
      </c>
      <c r="C13" s="293"/>
      <c r="M13"/>
      <c r="V13"/>
      <c r="W13"/>
    </row>
    <row r="14" spans="2:23">
      <c r="B14" s="201" t="s">
        <v>22</v>
      </c>
      <c r="C14" s="183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261510.57</v>
      </c>
      <c r="M14"/>
      <c r="N14" s="290" t="s">
        <v>54</v>
      </c>
      <c r="O14" s="291"/>
      <c r="P14" s="202"/>
      <c r="Q14" s="203">
        <f>SUM(Q9:Q12)</f>
        <v>382658.47230000002</v>
      </c>
      <c r="R14" s="204"/>
      <c r="S14" s="195"/>
      <c r="V14"/>
      <c r="W14"/>
    </row>
    <row r="15" spans="2:23">
      <c r="B15" s="205" t="s">
        <v>50</v>
      </c>
      <c r="C15" s="191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121147.90229999999</v>
      </c>
      <c r="M15"/>
      <c r="N15" s="174" t="s">
        <v>56</v>
      </c>
      <c r="O15" s="206"/>
      <c r="P15" s="206"/>
      <c r="Q15" s="206"/>
      <c r="R15" s="207" t="s">
        <v>57</v>
      </c>
      <c r="S15" s="208">
        <f>SUM(S9:S12)</f>
        <v>382658.47230000002</v>
      </c>
      <c r="V15"/>
      <c r="W15"/>
    </row>
    <row r="16" spans="2:23">
      <c r="B16" s="205"/>
      <c r="C16" s="191">
        <f>C14+C15</f>
        <v>382658.47230000002</v>
      </c>
    </row>
    <row r="17" spans="2:12">
      <c r="B17" s="204" t="s">
        <v>53</v>
      </c>
      <c r="C17" s="209">
        <v>0</v>
      </c>
    </row>
    <row r="18" spans="2:12">
      <c r="B18" s="210" t="s">
        <v>55</v>
      </c>
      <c r="C18" s="211">
        <f>C16+C17</f>
        <v>382658.47230000002</v>
      </c>
    </row>
    <row r="24" spans="2:12">
      <c r="B24" s="294" t="s">
        <v>19</v>
      </c>
      <c r="C24" s="294"/>
      <c r="D24" s="294"/>
      <c r="E24" s="294"/>
      <c r="F24" s="294"/>
      <c r="G24" s="294"/>
    </row>
    <row r="25" spans="2:12">
      <c r="B25" s="295" t="s">
        <v>20</v>
      </c>
      <c r="C25" s="295" t="s">
        <v>21</v>
      </c>
      <c r="D25" s="295"/>
      <c r="E25" s="295" t="s">
        <v>22</v>
      </c>
      <c r="F25" s="295" t="s">
        <v>23</v>
      </c>
      <c r="G25" s="295"/>
      <c r="J25" s="39" t="s">
        <v>70</v>
      </c>
      <c r="K25" s="214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215">
        <f>VLOOKUP(K25,E29:G40,2,FALSE)</f>
        <v>0.1361</v>
      </c>
    </row>
    <row r="26" spans="2:12">
      <c r="B26" s="295"/>
      <c r="C26" s="213"/>
      <c r="D26" s="213"/>
      <c r="E26" s="295"/>
      <c r="F26" s="213"/>
      <c r="G26" s="213"/>
      <c r="J26" s="59"/>
      <c r="L26" s="216">
        <f>VLOOKUP(K25,E29:G40,3,FALSE)</f>
        <v>2000001</v>
      </c>
    </row>
    <row r="27" spans="2:12">
      <c r="B27" s="295"/>
      <c r="C27" s="213" t="s">
        <v>24</v>
      </c>
      <c r="D27" s="213" t="s">
        <v>25</v>
      </c>
      <c r="E27" s="295"/>
      <c r="F27" s="213" t="s">
        <v>26</v>
      </c>
      <c r="G27" s="213" t="s">
        <v>27</v>
      </c>
      <c r="J27" s="45"/>
      <c r="K27" s="48"/>
      <c r="L27" s="217">
        <f>(C9-L26)*L25</f>
        <v>168763.8639</v>
      </c>
    </row>
    <row r="28" spans="2:12">
      <c r="B28" s="295"/>
      <c r="C28" s="213" t="s">
        <v>28</v>
      </c>
      <c r="D28" s="213" t="s">
        <v>29</v>
      </c>
      <c r="E28" s="213" t="s">
        <v>30</v>
      </c>
      <c r="F28" s="213" t="s">
        <v>31</v>
      </c>
      <c r="G28" s="213" t="s">
        <v>32</v>
      </c>
    </row>
    <row r="29" spans="2:12">
      <c r="B29" s="218">
        <v>1</v>
      </c>
      <c r="C29" s="219">
        <v>1</v>
      </c>
      <c r="D29" s="219">
        <v>200000</v>
      </c>
      <c r="E29" s="219">
        <v>14249.82</v>
      </c>
      <c r="F29" s="220">
        <v>0.22020000000000001</v>
      </c>
      <c r="G29" s="219">
        <v>1</v>
      </c>
    </row>
    <row r="30" spans="2:12">
      <c r="B30" s="218">
        <v>2</v>
      </c>
      <c r="C30" s="219">
        <v>200001</v>
      </c>
      <c r="D30" s="219">
        <v>650000</v>
      </c>
      <c r="E30" s="219">
        <v>58288.24</v>
      </c>
      <c r="F30" s="220">
        <v>0.2117</v>
      </c>
      <c r="G30" s="219">
        <v>200001</v>
      </c>
    </row>
    <row r="31" spans="2:12">
      <c r="B31" s="218">
        <v>3</v>
      </c>
      <c r="C31" s="219">
        <v>650001</v>
      </c>
      <c r="D31" s="219">
        <v>2000000</v>
      </c>
      <c r="E31" s="219">
        <v>153523.63</v>
      </c>
      <c r="F31" s="220">
        <v>0.15609999999999999</v>
      </c>
      <c r="G31" s="219">
        <v>650001</v>
      </c>
      <c r="K31" s="75"/>
    </row>
    <row r="32" spans="2:12">
      <c r="B32" s="218">
        <v>4</v>
      </c>
      <c r="C32" s="219">
        <v>2000001</v>
      </c>
      <c r="D32" s="219">
        <v>4000000</v>
      </c>
      <c r="E32" s="219">
        <v>364263.1</v>
      </c>
      <c r="F32" s="220">
        <v>0.1361</v>
      </c>
      <c r="G32" s="219">
        <v>2000001</v>
      </c>
    </row>
    <row r="33" spans="2:12">
      <c r="B33" s="218">
        <v>5</v>
      </c>
      <c r="C33" s="219">
        <v>4000001</v>
      </c>
      <c r="D33" s="219">
        <v>6500000</v>
      </c>
      <c r="E33" s="219">
        <v>636438.06999999995</v>
      </c>
      <c r="F33" s="220">
        <v>0.13250000000000001</v>
      </c>
      <c r="G33" s="219">
        <v>4000001</v>
      </c>
    </row>
    <row r="34" spans="2:12">
      <c r="B34" s="218">
        <v>6</v>
      </c>
      <c r="C34" s="219">
        <v>6500001</v>
      </c>
      <c r="D34" s="219">
        <v>13000000</v>
      </c>
      <c r="E34" s="219">
        <v>967738.13</v>
      </c>
      <c r="F34" s="220">
        <v>0.11509999999999999</v>
      </c>
      <c r="G34" s="219">
        <v>6500001</v>
      </c>
      <c r="L34" s="221"/>
    </row>
    <row r="35" spans="2:12">
      <c r="B35" s="218">
        <v>7</v>
      </c>
      <c r="C35" s="219">
        <v>13000001</v>
      </c>
      <c r="D35" s="219">
        <v>40000000</v>
      </c>
      <c r="E35" s="219">
        <v>1715380.21</v>
      </c>
      <c r="F35" s="220">
        <v>0.11119999999999999</v>
      </c>
      <c r="G35" s="219">
        <v>13000001</v>
      </c>
      <c r="K35" s="60"/>
      <c r="L35" s="222"/>
    </row>
    <row r="36" spans="2:12">
      <c r="B36" s="218">
        <v>8</v>
      </c>
      <c r="C36" s="219">
        <v>40000001</v>
      </c>
      <c r="D36" s="219">
        <v>130000000</v>
      </c>
      <c r="E36" s="219">
        <v>4718284</v>
      </c>
      <c r="F36" s="220">
        <v>0.11119999999999999</v>
      </c>
      <c r="G36" s="219">
        <v>40000001</v>
      </c>
    </row>
    <row r="37" spans="2:12">
      <c r="B37" s="218">
        <v>9</v>
      </c>
      <c r="C37" s="219">
        <v>130000001</v>
      </c>
      <c r="D37" s="219">
        <v>260000000</v>
      </c>
      <c r="E37" s="219">
        <v>14721703.949999999</v>
      </c>
      <c r="F37" s="220">
        <v>0.10390000000000001</v>
      </c>
      <c r="G37" s="219">
        <v>130000001</v>
      </c>
      <c r="K37" s="60"/>
    </row>
    <row r="38" spans="2:12">
      <c r="B38" s="218">
        <v>10</v>
      </c>
      <c r="C38" s="219">
        <v>260000001</v>
      </c>
      <c r="D38" s="219">
        <v>520000000</v>
      </c>
      <c r="E38" s="219">
        <v>28238356.02</v>
      </c>
      <c r="F38" s="220">
        <v>0.1016</v>
      </c>
      <c r="G38" s="219">
        <v>260000001</v>
      </c>
    </row>
    <row r="39" spans="2:12">
      <c r="B39" s="218">
        <v>11</v>
      </c>
      <c r="C39" s="219">
        <v>520000001</v>
      </c>
      <c r="D39" s="219">
        <v>1040000000</v>
      </c>
      <c r="E39" s="219">
        <v>54654882.619999997</v>
      </c>
      <c r="F39" s="220">
        <v>9.9000000000000005E-2</v>
      </c>
      <c r="G39" s="219">
        <v>520000001</v>
      </c>
      <c r="L39" s="75"/>
    </row>
    <row r="40" spans="2:12">
      <c r="B40" s="218">
        <v>12</v>
      </c>
      <c r="C40" s="219">
        <v>1040000001</v>
      </c>
      <c r="D40" s="223"/>
      <c r="E40" s="219">
        <v>106144722.59</v>
      </c>
      <c r="F40" s="220">
        <v>9.1600000000000001E-2</v>
      </c>
      <c r="G40" s="219">
        <v>1040000001</v>
      </c>
    </row>
    <row r="43" spans="2:12">
      <c r="B43" s="212" t="s">
        <v>59</v>
      </c>
      <c r="C43" s="212"/>
      <c r="D43" s="212"/>
      <c r="E43" s="212"/>
      <c r="F43" s="212"/>
      <c r="G43" s="212"/>
    </row>
    <row r="44" spans="2:12">
      <c r="B44" s="213" t="s">
        <v>20</v>
      </c>
      <c r="C44" s="213" t="s">
        <v>21</v>
      </c>
      <c r="D44" s="213"/>
      <c r="E44" s="213" t="s">
        <v>22</v>
      </c>
      <c r="F44" s="224" t="s">
        <v>23</v>
      </c>
      <c r="G44" s="225"/>
      <c r="J44" s="39" t="s">
        <v>70</v>
      </c>
      <c r="K44" s="214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215">
        <f>VLOOKUP(K44,E48:G59,2,FALSE)</f>
        <v>0.1169</v>
      </c>
    </row>
    <row r="45" spans="2:12">
      <c r="B45" s="213"/>
      <c r="C45" s="213"/>
      <c r="D45" s="213"/>
      <c r="E45" s="213"/>
      <c r="F45" s="213"/>
      <c r="G45" s="213"/>
      <c r="J45" s="59"/>
      <c r="L45" s="216">
        <f>VLOOKUP(K44,E48:G59,3,FALSE)</f>
        <v>2000001</v>
      </c>
    </row>
    <row r="46" spans="2:12">
      <c r="B46" s="213"/>
      <c r="C46" s="213" t="s">
        <v>24</v>
      </c>
      <c r="D46" s="213" t="s">
        <v>25</v>
      </c>
      <c r="E46" s="213"/>
      <c r="F46" s="213" t="s">
        <v>26</v>
      </c>
      <c r="G46" s="213" t="s">
        <v>27</v>
      </c>
      <c r="J46" s="45"/>
      <c r="K46" s="48"/>
      <c r="L46" s="217">
        <f>(C9-L45)*L44</f>
        <v>144955.88310000001</v>
      </c>
    </row>
    <row r="47" spans="2:12">
      <c r="B47" s="213"/>
      <c r="C47" s="213" t="s">
        <v>28</v>
      </c>
      <c r="D47" s="213" t="s">
        <v>29</v>
      </c>
      <c r="E47" s="213" t="s">
        <v>30</v>
      </c>
      <c r="F47" s="213" t="s">
        <v>31</v>
      </c>
      <c r="G47" s="213" t="s">
        <v>32</v>
      </c>
    </row>
    <row r="48" spans="2:12">
      <c r="B48" s="218">
        <v>1</v>
      </c>
      <c r="C48" s="219">
        <v>1</v>
      </c>
      <c r="D48" s="219">
        <v>200000</v>
      </c>
      <c r="E48" s="226">
        <v>12240</v>
      </c>
      <c r="F48" s="220">
        <v>0.18909999999999999</v>
      </c>
      <c r="G48" s="219">
        <v>1</v>
      </c>
    </row>
    <row r="49" spans="2:12">
      <c r="B49" s="218">
        <v>2</v>
      </c>
      <c r="C49" s="219">
        <v>200001</v>
      </c>
      <c r="D49" s="219">
        <v>650000</v>
      </c>
      <c r="E49" s="226">
        <v>50067.17</v>
      </c>
      <c r="F49" s="220">
        <v>0.18179999999999999</v>
      </c>
      <c r="G49" s="219">
        <v>200001</v>
      </c>
    </row>
    <row r="50" spans="2:12">
      <c r="B50" s="218">
        <v>3</v>
      </c>
      <c r="C50" s="219">
        <v>650001</v>
      </c>
      <c r="D50" s="219">
        <v>2000000</v>
      </c>
      <c r="E50" s="226">
        <v>131870.39000000001</v>
      </c>
      <c r="F50" s="220">
        <v>0.1341</v>
      </c>
      <c r="G50" s="219">
        <v>650001</v>
      </c>
    </row>
    <row r="51" spans="2:12">
      <c r="B51" s="218">
        <v>4</v>
      </c>
      <c r="C51" s="219">
        <v>2000001</v>
      </c>
      <c r="D51" s="219">
        <v>4000000</v>
      </c>
      <c r="E51" s="226">
        <v>312886.84000000003</v>
      </c>
      <c r="F51" s="220">
        <v>0.1169</v>
      </c>
      <c r="G51" s="219">
        <v>2000001</v>
      </c>
    </row>
    <row r="52" spans="2:12">
      <c r="B52" s="218">
        <v>5</v>
      </c>
      <c r="C52" s="219">
        <v>4000001</v>
      </c>
      <c r="D52" s="219">
        <v>6500000</v>
      </c>
      <c r="E52" s="226">
        <v>546673.78</v>
      </c>
      <c r="F52" s="220">
        <v>0.1138</v>
      </c>
      <c r="G52" s="219">
        <v>4000001</v>
      </c>
      <c r="K52" s="75"/>
      <c r="L52" s="227"/>
    </row>
    <row r="53" spans="2:12">
      <c r="B53" s="218">
        <v>6</v>
      </c>
      <c r="C53" s="219">
        <v>6500001</v>
      </c>
      <c r="D53" s="219">
        <v>13000000</v>
      </c>
      <c r="E53" s="226">
        <v>831246.74</v>
      </c>
      <c r="F53" s="220">
        <v>9.8799999999999999E-2</v>
      </c>
      <c r="G53" s="219">
        <v>6500001</v>
      </c>
    </row>
    <row r="54" spans="2:12">
      <c r="B54" s="218">
        <v>7</v>
      </c>
      <c r="C54" s="219">
        <v>13000001</v>
      </c>
      <c r="D54" s="219">
        <v>40000000</v>
      </c>
      <c r="E54" s="226">
        <v>1473440.14</v>
      </c>
      <c r="F54" s="220">
        <v>9.5600000000000004E-2</v>
      </c>
      <c r="G54" s="219">
        <v>13000001</v>
      </c>
      <c r="L54" s="75"/>
    </row>
    <row r="55" spans="2:12">
      <c r="B55" s="218">
        <v>8</v>
      </c>
      <c r="C55" s="219">
        <v>40000001</v>
      </c>
      <c r="D55" s="219">
        <v>130000000</v>
      </c>
      <c r="E55" s="226">
        <v>4052809.42</v>
      </c>
      <c r="F55" s="220">
        <v>9.5500000000000002E-2</v>
      </c>
      <c r="G55" s="219">
        <v>40000001</v>
      </c>
    </row>
    <row r="56" spans="2:12">
      <c r="B56" s="218">
        <v>9</v>
      </c>
      <c r="C56" s="219">
        <v>130000001</v>
      </c>
      <c r="D56" s="219">
        <v>260000000</v>
      </c>
      <c r="E56" s="226">
        <v>12645330.470000001</v>
      </c>
      <c r="F56" s="220">
        <v>8.9399999999999993E-2</v>
      </c>
      <c r="G56" s="219">
        <v>130000001</v>
      </c>
      <c r="K56" s="75"/>
      <c r="L56" s="75"/>
    </row>
    <row r="57" spans="2:12">
      <c r="B57" s="218">
        <v>10</v>
      </c>
      <c r="C57" s="219">
        <v>260000001</v>
      </c>
      <c r="D57" s="219">
        <v>520000000</v>
      </c>
      <c r="E57" s="226">
        <v>24255571.57</v>
      </c>
      <c r="F57" s="220">
        <v>8.7300000000000003E-2</v>
      </c>
      <c r="G57" s="219">
        <v>260000001</v>
      </c>
    </row>
    <row r="58" spans="2:12">
      <c r="B58" s="218">
        <v>11</v>
      </c>
      <c r="C58" s="219">
        <v>520000001</v>
      </c>
      <c r="D58" s="219">
        <v>1040000000</v>
      </c>
      <c r="E58" s="219">
        <v>46946267.549999997</v>
      </c>
      <c r="F58" s="220">
        <v>8.5099999999999995E-2</v>
      </c>
      <c r="G58" s="219">
        <v>520000001</v>
      </c>
    </row>
    <row r="59" spans="2:12">
      <c r="B59" s="218">
        <v>12</v>
      </c>
      <c r="C59" s="219">
        <v>1040000001</v>
      </c>
      <c r="D59" s="223"/>
      <c r="E59" s="219">
        <v>91173895.319999993</v>
      </c>
      <c r="F59" s="220">
        <v>7.8600000000000003E-2</v>
      </c>
      <c r="G59" s="219">
        <v>1040000001</v>
      </c>
    </row>
    <row r="60" spans="2:12">
      <c r="B60" s="228"/>
      <c r="C60" s="229"/>
      <c r="D60" s="230"/>
      <c r="E60" s="229"/>
      <c r="F60" s="231"/>
      <c r="G60" s="229"/>
      <c r="L60" s="221"/>
    </row>
    <row r="61" spans="2:12">
      <c r="K61" s="60"/>
      <c r="L61" s="222"/>
    </row>
    <row r="62" spans="2:12">
      <c r="B62" s="212" t="s">
        <v>86</v>
      </c>
      <c r="C62" s="212"/>
      <c r="D62" s="212"/>
      <c r="E62" s="212"/>
      <c r="F62" s="212"/>
      <c r="G62" s="212"/>
    </row>
    <row r="63" spans="2:12">
      <c r="B63" s="213" t="s">
        <v>20</v>
      </c>
      <c r="C63" s="213" t="s">
        <v>21</v>
      </c>
      <c r="D63" s="213"/>
      <c r="E63" s="213" t="s">
        <v>22</v>
      </c>
      <c r="F63" s="224" t="s">
        <v>23</v>
      </c>
      <c r="G63" s="225"/>
      <c r="J63" s="39" t="s">
        <v>70</v>
      </c>
      <c r="K63" s="214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215">
        <f>VLOOKUP(K63,E67:G78,2,FALSE)</f>
        <v>9.7699999999999995E-2</v>
      </c>
    </row>
    <row r="64" spans="2:12">
      <c r="B64" s="213"/>
      <c r="C64" s="213"/>
      <c r="D64" s="213"/>
      <c r="E64" s="213"/>
      <c r="F64" s="213"/>
      <c r="G64" s="213"/>
      <c r="J64" s="59"/>
      <c r="L64" s="216">
        <f>VLOOKUP(K63,E67:G78,3,FALSE)</f>
        <v>2000001</v>
      </c>
    </row>
    <row r="65" spans="2:12">
      <c r="B65" s="213"/>
      <c r="C65" s="213" t="s">
        <v>24</v>
      </c>
      <c r="D65" s="213" t="s">
        <v>25</v>
      </c>
      <c r="E65" s="213"/>
      <c r="F65" s="213" t="s">
        <v>26</v>
      </c>
      <c r="G65" s="213" t="s">
        <v>27</v>
      </c>
      <c r="J65" s="45"/>
      <c r="K65" s="48" t="s">
        <v>88</v>
      </c>
      <c r="L65" s="217">
        <f>(C9-L64)*L63</f>
        <v>121147.90229999999</v>
      </c>
    </row>
    <row r="66" spans="2:12">
      <c r="B66" s="213"/>
      <c r="C66" s="213" t="s">
        <v>28</v>
      </c>
      <c r="D66" s="213" t="s">
        <v>29</v>
      </c>
      <c r="E66" s="213" t="s">
        <v>30</v>
      </c>
      <c r="F66" s="213" t="s">
        <v>31</v>
      </c>
      <c r="G66" s="213" t="s">
        <v>32</v>
      </c>
    </row>
    <row r="67" spans="2:12">
      <c r="B67" s="218">
        <v>1</v>
      </c>
      <c r="C67" s="219">
        <v>1</v>
      </c>
      <c r="D67" s="219">
        <v>200000</v>
      </c>
      <c r="E67" s="226">
        <v>10230.18</v>
      </c>
      <c r="F67" s="220">
        <v>0.15809999999999999</v>
      </c>
      <c r="G67" s="219">
        <v>1</v>
      </c>
    </row>
    <row r="68" spans="2:12">
      <c r="B68" s="218">
        <v>2</v>
      </c>
      <c r="C68" s="219">
        <v>200001</v>
      </c>
      <c r="D68" s="219">
        <v>650000</v>
      </c>
      <c r="E68" s="226">
        <v>41846.1</v>
      </c>
      <c r="F68" s="220">
        <v>0.152</v>
      </c>
      <c r="G68" s="219">
        <v>200001</v>
      </c>
    </row>
    <row r="69" spans="2:12">
      <c r="B69" s="218">
        <v>3</v>
      </c>
      <c r="C69" s="219">
        <v>650001</v>
      </c>
      <c r="D69" s="219">
        <v>2000000</v>
      </c>
      <c r="E69" s="226">
        <v>110217.17</v>
      </c>
      <c r="F69" s="220">
        <v>0.11210000000000001</v>
      </c>
      <c r="G69" s="219">
        <v>650001</v>
      </c>
    </row>
    <row r="70" spans="2:12">
      <c r="B70" s="218">
        <v>4</v>
      </c>
      <c r="C70" s="219">
        <v>2000001</v>
      </c>
      <c r="D70" s="219">
        <v>4000000</v>
      </c>
      <c r="E70" s="226">
        <v>261510.57</v>
      </c>
      <c r="F70" s="220">
        <v>9.7699999999999995E-2</v>
      </c>
      <c r="G70" s="219">
        <v>2000001</v>
      </c>
    </row>
    <row r="71" spans="2:12">
      <c r="B71" s="218">
        <v>5</v>
      </c>
      <c r="C71" s="219">
        <v>4000001</v>
      </c>
      <c r="D71" s="219">
        <v>6500000</v>
      </c>
      <c r="E71" s="226">
        <v>456909.51</v>
      </c>
      <c r="F71" s="220">
        <v>9.5200000000000007E-2</v>
      </c>
      <c r="G71" s="219">
        <v>4000001</v>
      </c>
    </row>
    <row r="72" spans="2:12">
      <c r="B72" s="218">
        <v>6</v>
      </c>
      <c r="C72" s="219">
        <v>6500001</v>
      </c>
      <c r="D72" s="219">
        <v>13000000</v>
      </c>
      <c r="E72" s="226">
        <v>694755.35</v>
      </c>
      <c r="F72" s="220">
        <v>8.2600000000000007E-2</v>
      </c>
      <c r="G72" s="219">
        <v>6500001</v>
      </c>
    </row>
    <row r="73" spans="2:12">
      <c r="B73" s="218">
        <v>7</v>
      </c>
      <c r="C73" s="219">
        <v>13000001</v>
      </c>
      <c r="D73" s="219">
        <v>40000000</v>
      </c>
      <c r="E73" s="226">
        <v>1231500.08</v>
      </c>
      <c r="F73" s="220">
        <v>7.9899999999999999E-2</v>
      </c>
      <c r="G73" s="219">
        <v>13000001</v>
      </c>
    </row>
    <row r="74" spans="2:12">
      <c r="B74" s="218">
        <v>8</v>
      </c>
      <c r="C74" s="219">
        <v>40000001</v>
      </c>
      <c r="D74" s="219">
        <v>130000000</v>
      </c>
      <c r="E74" s="226">
        <v>3387334.84</v>
      </c>
      <c r="F74" s="220">
        <v>7.9799999999999996E-2</v>
      </c>
      <c r="G74" s="219">
        <v>40000001</v>
      </c>
    </row>
    <row r="75" spans="2:12">
      <c r="B75" s="218">
        <v>9</v>
      </c>
      <c r="C75" s="219">
        <v>130000001</v>
      </c>
      <c r="D75" s="219">
        <v>260000000</v>
      </c>
      <c r="E75" s="226">
        <v>10568956.99</v>
      </c>
      <c r="F75" s="220">
        <v>7.4700000000000003E-2</v>
      </c>
      <c r="G75" s="219">
        <v>130000001</v>
      </c>
    </row>
    <row r="76" spans="2:12">
      <c r="B76" s="218">
        <v>10</v>
      </c>
      <c r="C76" s="219">
        <v>260000001</v>
      </c>
      <c r="D76" s="219">
        <v>520000000</v>
      </c>
      <c r="E76" s="226">
        <v>20272787.120000001</v>
      </c>
      <c r="F76" s="220">
        <v>7.2900000000000006E-2</v>
      </c>
      <c r="G76" s="219">
        <v>260000001</v>
      </c>
    </row>
    <row r="77" spans="2:12">
      <c r="B77" s="218">
        <v>11</v>
      </c>
      <c r="C77" s="219">
        <v>520000001</v>
      </c>
      <c r="D77" s="219">
        <v>1040000000</v>
      </c>
      <c r="E77" s="219">
        <v>39237652.490000002</v>
      </c>
      <c r="F77" s="220">
        <v>7.1099999999999997E-2</v>
      </c>
      <c r="G77" s="219">
        <v>520000001</v>
      </c>
    </row>
    <row r="78" spans="2:12">
      <c r="B78" s="218">
        <v>12</v>
      </c>
      <c r="C78" s="219">
        <v>1040000001</v>
      </c>
      <c r="D78" s="223"/>
      <c r="E78" s="219">
        <v>76203068.030000001</v>
      </c>
      <c r="F78" s="220">
        <v>6.5699999999999995E-2</v>
      </c>
      <c r="G78" s="219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0000000-0002-0000-0200-000000000000}">
      <formula1>"Low,Medium,High"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20230914_Fees</vt:lpstr>
      <vt:lpstr>Fees</vt:lpstr>
      <vt:lpstr>Sheet1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dcterms:created xsi:type="dcterms:W3CDTF">2022-07-11T13:42:49Z</dcterms:created>
  <dcterms:modified xsi:type="dcterms:W3CDTF">2023-09-14T17:15:19Z</dcterms:modified>
</cp:coreProperties>
</file>