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3\- G Squared\Spekboom Development_Humansdorp\"/>
    </mc:Choice>
  </mc:AlternateContent>
  <xr:revisionPtr revIDLastSave="0" documentId="13_ncr:1_{BAE84E90-E28E-4AF0-8332-00BCCC68D5E3}" xr6:coauthVersionLast="47" xr6:coauthVersionMax="47" xr10:uidLastSave="{00000000-0000-0000-0000-000000000000}"/>
  <bookViews>
    <workbookView xWindow="-28920" yWindow="-120" windowWidth="29040" windowHeight="15840" xr2:uid="{A6C45247-5310-4588-876B-0369C11A1526}"/>
  </bookViews>
  <sheets>
    <sheet name="Client Fees" sheetId="1" r:id="rId1"/>
    <sheet name="SACAP - Villas" sheetId="3" r:id="rId2"/>
    <sheet name="SACAP - Court" sheetId="4" r:id="rId3"/>
    <sheet name="QS_BH Split" sheetId="2" r:id="rId4"/>
    <sheet name="Data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4" i="5" l="1"/>
  <c r="J55" i="5" s="1"/>
  <c r="I35" i="5"/>
  <c r="J36" i="5" s="1"/>
  <c r="J18" i="5"/>
  <c r="I16" i="5"/>
  <c r="J16" i="5" s="1"/>
  <c r="B7" i="5"/>
  <c r="B8" i="5" s="1"/>
  <c r="J54" i="5" l="1"/>
  <c r="J56" i="5" s="1"/>
  <c r="J35" i="5"/>
  <c r="J37" i="5" s="1"/>
  <c r="J17" i="5"/>
  <c r="B9" i="5"/>
  <c r="B11" i="5" l="1"/>
  <c r="B41" i="1" l="1"/>
  <c r="B42" i="1"/>
  <c r="B35" i="1"/>
  <c r="E27" i="1"/>
  <c r="E34" i="1" s="1"/>
  <c r="E26" i="1"/>
  <c r="E33" i="1" s="1"/>
  <c r="E25" i="1"/>
  <c r="E32" i="1" s="1"/>
  <c r="E24" i="1"/>
  <c r="E31" i="1" s="1"/>
  <c r="E23" i="1"/>
  <c r="E30" i="1" s="1"/>
  <c r="B17" i="1"/>
  <c r="B16" i="1"/>
  <c r="B10" i="1"/>
  <c r="E5" i="1"/>
  <c r="E9" i="1" s="1"/>
  <c r="E4" i="1"/>
  <c r="E8" i="1" s="1"/>
  <c r="E10" i="1" l="1"/>
  <c r="E21" i="3" s="1"/>
  <c r="E22" i="3" s="1"/>
  <c r="E25" i="3" s="1"/>
  <c r="E35" i="1"/>
  <c r="E21" i="4" s="1"/>
  <c r="E22" i="4" s="1"/>
  <c r="E25" i="4" s="1"/>
  <c r="E6" i="1"/>
  <c r="E5" i="3" s="1"/>
  <c r="E6" i="3" s="1"/>
  <c r="E28" i="1"/>
  <c r="E5" i="4" s="1"/>
  <c r="E6" i="4" s="1"/>
  <c r="E9" i="4" l="1"/>
  <c r="E9" i="3"/>
  <c r="E10" i="3" s="1"/>
  <c r="E26" i="4"/>
  <c r="E27" i="4" s="1"/>
  <c r="E26" i="3"/>
  <c r="E27" i="3" s="1"/>
  <c r="E30" i="3" l="1"/>
  <c r="E29" i="3"/>
  <c r="E30" i="4"/>
  <c r="E29" i="4"/>
  <c r="E11" i="3"/>
  <c r="E10" i="4"/>
  <c r="E11" i="4" s="1"/>
  <c r="E31" i="4" l="1"/>
  <c r="E33" i="4" s="1"/>
  <c r="E31" i="3"/>
  <c r="E33" i="3" s="1"/>
  <c r="E13" i="4"/>
  <c r="E14" i="4"/>
  <c r="E13" i="3"/>
  <c r="E14" i="3"/>
  <c r="E15" i="4" l="1"/>
  <c r="E37" i="4"/>
  <c r="E38" i="4" s="1"/>
  <c r="E40" i="4" s="1"/>
  <c r="E38" i="1" s="1"/>
  <c r="B38" i="1" s="1"/>
  <c r="D42" i="1" s="1"/>
  <c r="E42" i="1" s="1"/>
  <c r="E15" i="3"/>
  <c r="E37" i="3" s="1"/>
  <c r="E38" i="3" s="1"/>
  <c r="E40" i="3" s="1"/>
  <c r="E13" i="1" s="1"/>
  <c r="B13" i="1" s="1"/>
  <c r="D41" i="1" l="1"/>
  <c r="E41" i="1" s="1"/>
  <c r="E43" i="1" s="1"/>
  <c r="E47" i="1" s="1"/>
  <c r="D16" i="1"/>
  <c r="E16" i="1" s="1"/>
  <c r="D17" i="1"/>
  <c r="E17" i="1" s="1"/>
  <c r="D3" i="2" l="1"/>
  <c r="D8" i="2"/>
  <c r="D7" i="2"/>
  <c r="E18" i="1"/>
  <c r="E46" i="1" s="1"/>
  <c r="E49" i="1" s="1"/>
  <c r="D15" i="2" s="1"/>
  <c r="D2" i="2"/>
  <c r="D4" i="2" l="1"/>
  <c r="D12" i="2" s="1"/>
  <c r="D9" i="2"/>
  <c r="C4" i="2"/>
  <c r="C12" i="2" s="1"/>
  <c r="D13" i="2" l="1"/>
  <c r="C9" i="2"/>
  <c r="C13" i="2" s="1"/>
</calcChain>
</file>

<file path=xl/sharedStrings.xml><?xml version="1.0" encoding="utf-8"?>
<sst xmlns="http://schemas.openxmlformats.org/spreadsheetml/2006/main" count="239" uniqueCount="88">
  <si>
    <t>VILLAS</t>
  </si>
  <si>
    <t>Single Unit</t>
  </si>
  <si>
    <t>m² PER UNIT</t>
  </si>
  <si>
    <t>Description</t>
  </si>
  <si>
    <t>Unit Price:</t>
  </si>
  <si>
    <t>Type A</t>
  </si>
  <si>
    <t>Type B</t>
  </si>
  <si>
    <t>1 Unit per Type</t>
  </si>
  <si>
    <t>Total Build:</t>
  </si>
  <si>
    <t>Repetitive Units</t>
  </si>
  <si>
    <t>QTY</t>
  </si>
  <si>
    <t>All Unit Price:</t>
  </si>
  <si>
    <t>Type B.1</t>
  </si>
  <si>
    <t>SACAP ARCHITECTURAL FEES (based on Total Build)</t>
  </si>
  <si>
    <t>Total</t>
  </si>
  <si>
    <t>Stages/Fee Breakdown</t>
  </si>
  <si>
    <t>Stage 1-3 (Design)</t>
  </si>
  <si>
    <t>Stage 4.1 (Municipal)</t>
  </si>
  <si>
    <t>Total Fees: (excl. VAT)</t>
  </si>
  <si>
    <t>COURT</t>
  </si>
  <si>
    <t>Type B.2</t>
  </si>
  <si>
    <t>Type C.1</t>
  </si>
  <si>
    <t>Type C.2</t>
  </si>
  <si>
    <t>VILLAS:</t>
  </si>
  <si>
    <t>Total Fees: ( Excl. VAT)</t>
  </si>
  <si>
    <t>COURT:</t>
  </si>
  <si>
    <t>Total Architectural Fees:</t>
  </si>
  <si>
    <t>G Squared</t>
  </si>
  <si>
    <t>Percentage</t>
  </si>
  <si>
    <t>Design</t>
  </si>
  <si>
    <t>Municipal</t>
  </si>
  <si>
    <t>Total Fees:</t>
  </si>
  <si>
    <t>Excl. VAT</t>
  </si>
  <si>
    <t>Blackhound Fees</t>
  </si>
  <si>
    <t>Design (Changes 3D's)</t>
  </si>
  <si>
    <t>Municipal (SDP)</t>
  </si>
  <si>
    <t>VILLAS - Single Units</t>
  </si>
  <si>
    <t>Estimated Build Cost: (For Cost Based Fees)</t>
  </si>
  <si>
    <t>Building</t>
  </si>
  <si>
    <t>Villas</t>
  </si>
  <si>
    <t>Project Cost</t>
  </si>
  <si>
    <t>Complexity</t>
  </si>
  <si>
    <t>Primary Fee</t>
  </si>
  <si>
    <t>Secondary fee</t>
  </si>
  <si>
    <t>Stages 1 - 6</t>
  </si>
  <si>
    <t>Work Stages</t>
  </si>
  <si>
    <t>Municipal Submission</t>
  </si>
  <si>
    <t>Stages 1 - 3</t>
  </si>
  <si>
    <t>Stage 4.1</t>
  </si>
  <si>
    <t>Low</t>
  </si>
  <si>
    <t>% of Fee</t>
  </si>
  <si>
    <t>Est. Build cost</t>
  </si>
  <si>
    <t>Final Fees (ex VAT)</t>
  </si>
  <si>
    <t xml:space="preserve">Total (ex.VAT) </t>
  </si>
  <si>
    <t>Estimated Build Cost: (Cost Based Fees)</t>
  </si>
  <si>
    <t>Less 35% (as per SACAP)</t>
  </si>
  <si>
    <t>FINAL FIGURE</t>
  </si>
  <si>
    <t>over and above SACAP rates:</t>
  </si>
  <si>
    <t>Grand Total:</t>
  </si>
  <si>
    <t>Sub total (Single &amp; Repetitive fees)</t>
  </si>
  <si>
    <t>Court - Single Units</t>
  </si>
  <si>
    <t>Court</t>
  </si>
  <si>
    <t>( Excl. VAT)</t>
  </si>
  <si>
    <t xml:space="preserve">(ex.VAT) </t>
  </si>
  <si>
    <t>Cost Bracket</t>
  </si>
  <si>
    <t>Value of Works</t>
  </si>
  <si>
    <t>Plus Secondary Fee</t>
  </si>
  <si>
    <t>(Project - E) * D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</si>
  <si>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</si>
  <si>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</si>
  <si>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</si>
  <si>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</si>
  <si>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</si>
  <si>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</si>
  <si>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</si>
  <si>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</si>
  <si>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</si>
  <si>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Professional Fees: (ex. VAT)</t>
  </si>
  <si>
    <t>2 x Bedroom</t>
  </si>
  <si>
    <t>3 x Bedroom</t>
  </si>
  <si>
    <t>2 x Bedroom, 2 x per floor</t>
  </si>
  <si>
    <t>1 x Bedroom, 4 x per floor</t>
  </si>
  <si>
    <t>Additional Services</t>
  </si>
  <si>
    <t>Total (Stages 1 - 6)</t>
  </si>
  <si>
    <r>
      <t xml:space="preserve">Table 1: Project Cost-based Fee </t>
    </r>
    <r>
      <rPr>
        <b/>
        <sz val="12"/>
        <color indexed="10"/>
        <rFont val="Century Gothic"/>
        <family val="2"/>
      </rPr>
      <t>HIGH COMPLEXITY</t>
    </r>
  </si>
  <si>
    <r>
      <t xml:space="preserve">Table 2: Project Cost-based Fee </t>
    </r>
    <r>
      <rPr>
        <b/>
        <sz val="12"/>
        <color indexed="10"/>
        <rFont val="Century Gothic"/>
        <family val="2"/>
      </rPr>
      <t>MEDIUM COMPLEXITY</t>
    </r>
  </si>
  <si>
    <r>
      <t xml:space="preserve">Table 2: Project Cost-based Fee </t>
    </r>
    <r>
      <rPr>
        <b/>
        <sz val="12"/>
        <color indexed="10"/>
        <rFont val="Century Gothic"/>
        <family val="2"/>
      </rPr>
      <t>LOW COMPLEXITY</t>
    </r>
  </si>
  <si>
    <t>Build Rate: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</si>
</sst>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164" formatCode="&quot;R&quot;#,##0.00"/>
    <numFmt numFmtId="165" formatCode="[$R-1C09]\ #,##0"/>
    <numFmt numFmtId="166" formatCode="[$R-1C09]#,##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Century Gothic"/>
      <family val="2"/>
    </font>
    <font>
      <b/>
      <sz val="14"/>
      <color rgb="FF000000"/>
      <name val="Century Gothic"/>
      <family val="2"/>
    </font>
    <font>
      <sz val="12"/>
      <color rgb="FF000000"/>
      <name val="Century Gothic"/>
      <family val="2"/>
    </font>
    <font>
      <sz val="11"/>
      <color rgb="FF000000"/>
      <name val="Century Gothic"/>
      <family val="2"/>
    </font>
    <font>
      <sz val="11"/>
      <color rgb="FF000000"/>
      <name val="Calibri"/>
      <family val="2"/>
    </font>
    <font>
      <b/>
      <sz val="15"/>
      <color rgb="FF000000"/>
      <name val="Calibri"/>
      <family val="2"/>
      <scheme val="minor"/>
    </font>
    <font>
      <b/>
      <sz val="12"/>
      <color rgb="FF000000"/>
      <name val="Century Gothic"/>
    </font>
    <font>
      <sz val="11"/>
      <name val="Calibri"/>
      <family val="2"/>
    </font>
    <font>
      <b/>
      <sz val="24"/>
      <color rgb="FF000000"/>
      <name val="Century Gothic"/>
      <family val="2"/>
    </font>
    <font>
      <sz val="14"/>
      <color rgb="FF000000"/>
      <name val="Century Gothic"/>
      <family val="2"/>
    </font>
    <font>
      <sz val="14"/>
      <name val="Century Gothic"/>
      <family val="2"/>
    </font>
    <font>
      <b/>
      <sz val="14"/>
      <name val="Century Gothic"/>
      <family val="2"/>
    </font>
    <font>
      <sz val="12"/>
      <name val="Century Gothic"/>
      <family val="2"/>
    </font>
    <font>
      <b/>
      <sz val="12"/>
      <name val="Century Gothic"/>
      <family val="2"/>
    </font>
    <font>
      <b/>
      <sz val="10"/>
      <name val="Century Gothic"/>
      <family val="2"/>
    </font>
    <font>
      <sz val="11"/>
      <color theme="1"/>
      <name val="Century Gothic"/>
      <family val="2"/>
    </font>
    <font>
      <b/>
      <sz val="12"/>
      <color rgb="FFFFFFFF"/>
      <name val="Century Gothic"/>
      <family val="2"/>
    </font>
    <font>
      <b/>
      <sz val="12"/>
      <color indexed="10"/>
      <name val="Century Gothic"/>
      <family val="2"/>
    </font>
  </fonts>
  <fills count="1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616D3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CC"/>
        <bgColor indexed="64"/>
      </patternFill>
    </fill>
  </fills>
  <borders count="46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3" fillId="3" borderId="0" applyNumberFormat="0" applyBorder="0" applyAlignment="0" applyProtection="0"/>
  </cellStyleXfs>
  <cellXfs count="364">
    <xf numFmtId="0" fontId="0" fillId="0" borderId="0" xfId="0"/>
    <xf numFmtId="0" fontId="6" fillId="0" borderId="16" xfId="0" applyFont="1" applyBorder="1"/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center" vertical="center"/>
    </xf>
    <xf numFmtId="0" fontId="6" fillId="4" borderId="6" xfId="0" applyFont="1" applyFill="1" applyBorder="1"/>
    <xf numFmtId="0" fontId="6" fillId="4" borderId="10" xfId="0" applyFont="1" applyFill="1" applyBorder="1"/>
    <xf numFmtId="0" fontId="0" fillId="0" borderId="0" xfId="0" applyAlignment="1">
      <alignment vertical="center"/>
    </xf>
    <xf numFmtId="0" fontId="4" fillId="4" borderId="14" xfId="0" applyFont="1" applyFill="1" applyBorder="1" applyAlignment="1">
      <alignment horizontal="center" vertical="center"/>
    </xf>
    <xf numFmtId="0" fontId="6" fillId="4" borderId="15" xfId="0" applyFont="1" applyFill="1" applyBorder="1"/>
    <xf numFmtId="0" fontId="6" fillId="4" borderId="8" xfId="0" applyFont="1" applyFill="1" applyBorder="1" applyAlignment="1">
      <alignment horizontal="center"/>
    </xf>
    <xf numFmtId="0" fontId="0" fillId="4" borderId="8" xfId="0" applyFill="1" applyBorder="1"/>
    <xf numFmtId="0" fontId="6" fillId="4" borderId="11" xfId="0" applyFont="1" applyFill="1" applyBorder="1" applyAlignment="1">
      <alignment horizontal="center"/>
    </xf>
    <xf numFmtId="0" fontId="0" fillId="4" borderId="11" xfId="0" applyFill="1" applyBorder="1"/>
    <xf numFmtId="0" fontId="0" fillId="0" borderId="16" xfId="0" applyBorder="1"/>
    <xf numFmtId="0" fontId="6" fillId="4" borderId="2" xfId="0" applyFont="1" applyFill="1" applyBorder="1" applyAlignment="1">
      <alignment horizontal="center" vertical="center"/>
    </xf>
    <xf numFmtId="44" fontId="5" fillId="4" borderId="5" xfId="0" applyNumberFormat="1" applyFont="1" applyFill="1" applyBorder="1" applyAlignment="1">
      <alignment vertical="center"/>
    </xf>
    <xf numFmtId="44" fontId="6" fillId="4" borderId="15" xfId="0" applyNumberFormat="1" applyFont="1" applyFill="1" applyBorder="1" applyAlignment="1">
      <alignment horizontal="right"/>
    </xf>
    <xf numFmtId="44" fontId="6" fillId="4" borderId="10" xfId="0" applyNumberFormat="1" applyFont="1" applyFill="1" applyBorder="1" applyAlignment="1">
      <alignment horizontal="right"/>
    </xf>
    <xf numFmtId="44" fontId="4" fillId="6" borderId="5" xfId="0" applyNumberFormat="1" applyFont="1" applyFill="1" applyBorder="1" applyAlignment="1">
      <alignment vertical="center"/>
    </xf>
    <xf numFmtId="0" fontId="4" fillId="7" borderId="2" xfId="0" applyFont="1" applyFill="1" applyBorder="1" applyAlignment="1">
      <alignment horizontal="left" vertical="center"/>
    </xf>
    <xf numFmtId="0" fontId="0" fillId="7" borderId="3" xfId="0" applyFill="1" applyBorder="1"/>
    <xf numFmtId="0" fontId="4" fillId="7" borderId="3" xfId="0" applyFont="1" applyFill="1" applyBorder="1" applyAlignment="1">
      <alignment horizontal="center" vertical="center"/>
    </xf>
    <xf numFmtId="0" fontId="6" fillId="7" borderId="16" xfId="0" applyFont="1" applyFill="1" applyBorder="1"/>
    <xf numFmtId="0" fontId="6" fillId="7" borderId="0" xfId="0" applyFont="1" applyFill="1"/>
    <xf numFmtId="0" fontId="6" fillId="7" borderId="10" xfId="0" applyFont="1" applyFill="1" applyBorder="1"/>
    <xf numFmtId="0" fontId="6" fillId="7" borderId="11" xfId="0" applyFont="1" applyFill="1" applyBorder="1"/>
    <xf numFmtId="0" fontId="4" fillId="7" borderId="14" xfId="0" applyFont="1" applyFill="1" applyBorder="1" applyAlignment="1">
      <alignment horizontal="center" vertical="center"/>
    </xf>
    <xf numFmtId="0" fontId="0" fillId="7" borderId="0" xfId="0" applyFill="1"/>
    <xf numFmtId="0" fontId="0" fillId="7" borderId="11" xfId="0" applyFill="1" applyBorder="1"/>
    <xf numFmtId="44" fontId="5" fillId="7" borderId="5" xfId="0" applyNumberFormat="1" applyFont="1" applyFill="1" applyBorder="1" applyAlignment="1">
      <alignment vertical="center"/>
    </xf>
    <xf numFmtId="0" fontId="6" fillId="7" borderId="2" xfId="0" applyFont="1" applyFill="1" applyBorder="1" applyAlignment="1">
      <alignment horizontal="center" vertical="center"/>
    </xf>
    <xf numFmtId="0" fontId="6" fillId="7" borderId="15" xfId="0" applyFont="1" applyFill="1" applyBorder="1"/>
    <xf numFmtId="44" fontId="6" fillId="7" borderId="15" xfId="0" applyNumberFormat="1" applyFont="1" applyFill="1" applyBorder="1" applyAlignment="1">
      <alignment horizontal="right"/>
    </xf>
    <xf numFmtId="44" fontId="6" fillId="7" borderId="10" xfId="0" applyNumberFormat="1" applyFont="1" applyFill="1" applyBorder="1" applyAlignment="1">
      <alignment horizontal="right"/>
    </xf>
    <xf numFmtId="0" fontId="0" fillId="7" borderId="3" xfId="0" applyFill="1" applyBorder="1" applyAlignment="1">
      <alignment vertical="center"/>
    </xf>
    <xf numFmtId="0" fontId="9" fillId="9" borderId="2" xfId="0" applyFont="1" applyFill="1" applyBorder="1" applyAlignment="1">
      <alignment vertical="center"/>
    </xf>
    <xf numFmtId="0" fontId="0" fillId="9" borderId="3" xfId="0" applyFill="1" applyBorder="1" applyAlignment="1">
      <alignment vertical="center"/>
    </xf>
    <xf numFmtId="0" fontId="0" fillId="9" borderId="3" xfId="0" applyFill="1" applyBorder="1"/>
    <xf numFmtId="0" fontId="4" fillId="9" borderId="3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6" fillId="0" borderId="0" xfId="0" applyFont="1"/>
    <xf numFmtId="0" fontId="5" fillId="4" borderId="2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center"/>
    </xf>
    <xf numFmtId="0" fontId="6" fillId="4" borderId="22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left"/>
    </xf>
    <xf numFmtId="0" fontId="13" fillId="4" borderId="8" xfId="0" applyFont="1" applyFill="1" applyBorder="1" applyAlignment="1">
      <alignment horizontal="center"/>
    </xf>
    <xf numFmtId="0" fontId="6" fillId="4" borderId="19" xfId="0" applyFont="1" applyFill="1" applyBorder="1" applyAlignment="1">
      <alignment horizontal="left" vertical="center"/>
    </xf>
    <xf numFmtId="0" fontId="14" fillId="4" borderId="2" xfId="3" applyFont="1" applyFill="1" applyBorder="1" applyAlignment="1" applyProtection="1">
      <alignment horizontal="left"/>
    </xf>
    <xf numFmtId="0" fontId="6" fillId="4" borderId="4" xfId="0" applyFont="1" applyFill="1" applyBorder="1"/>
    <xf numFmtId="0" fontId="6" fillId="4" borderId="21" xfId="0" applyFont="1" applyFill="1" applyBorder="1" applyAlignment="1">
      <alignment horizontal="center"/>
    </xf>
    <xf numFmtId="0" fontId="14" fillId="4" borderId="4" xfId="3" applyFont="1" applyFill="1" applyBorder="1" applyAlignment="1" applyProtection="1">
      <alignment horizontal="center"/>
    </xf>
    <xf numFmtId="0" fontId="0" fillId="4" borderId="11" xfId="0" applyFill="1" applyBorder="1" applyAlignment="1">
      <alignment vertical="center"/>
    </xf>
    <xf numFmtId="0" fontId="6" fillId="4" borderId="15" xfId="0" applyFont="1" applyFill="1" applyBorder="1" applyAlignment="1">
      <alignment horizontal="left" vertical="center"/>
    </xf>
    <xf numFmtId="0" fontId="6" fillId="4" borderId="8" xfId="0" applyFont="1" applyFill="1" applyBorder="1" applyAlignment="1">
      <alignment horizontal="left" vertical="center"/>
    </xf>
    <xf numFmtId="0" fontId="6" fillId="4" borderId="10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3" xfId="0" applyFont="1" applyFill="1" applyBorder="1"/>
    <xf numFmtId="164" fontId="6" fillId="4" borderId="3" xfId="0" applyNumberFormat="1" applyFont="1" applyFill="1" applyBorder="1" applyAlignment="1">
      <alignment horizontal="center"/>
    </xf>
    <xf numFmtId="0" fontId="13" fillId="4" borderId="8" xfId="0" applyFont="1" applyFill="1" applyBorder="1"/>
    <xf numFmtId="44" fontId="6" fillId="4" borderId="8" xfId="0" applyNumberFormat="1" applyFont="1" applyFill="1" applyBorder="1" applyAlignment="1">
      <alignment vertical="center"/>
    </xf>
    <xf numFmtId="44" fontId="6" fillId="4" borderId="11" xfId="0" applyNumberFormat="1" applyFont="1" applyFill="1" applyBorder="1" applyAlignment="1">
      <alignment vertical="center"/>
    </xf>
    <xf numFmtId="0" fontId="0" fillId="5" borderId="3" xfId="0" applyFill="1" applyBorder="1"/>
    <xf numFmtId="0" fontId="5" fillId="10" borderId="2" xfId="0" applyFont="1" applyFill="1" applyBorder="1" applyAlignment="1">
      <alignment horizontal="left"/>
    </xf>
    <xf numFmtId="0" fontId="8" fillId="10" borderId="4" xfId="0" applyFont="1" applyFill="1" applyBorder="1"/>
    <xf numFmtId="0" fontId="6" fillId="10" borderId="2" xfId="0" applyFont="1" applyFill="1" applyBorder="1" applyAlignment="1">
      <alignment horizontal="left"/>
    </xf>
    <xf numFmtId="0" fontId="6" fillId="10" borderId="3" xfId="0" applyFont="1" applyFill="1" applyBorder="1" applyAlignment="1">
      <alignment horizontal="center"/>
    </xf>
    <xf numFmtId="0" fontId="6" fillId="10" borderId="16" xfId="0" applyFont="1" applyFill="1" applyBorder="1" applyAlignment="1">
      <alignment horizontal="left" vertical="center"/>
    </xf>
    <xf numFmtId="0" fontId="0" fillId="10" borderId="0" xfId="0" applyFill="1" applyAlignment="1">
      <alignment vertical="center"/>
    </xf>
    <xf numFmtId="0" fontId="6" fillId="10" borderId="22" xfId="0" applyFont="1" applyFill="1" applyBorder="1" applyAlignment="1">
      <alignment horizontal="center"/>
    </xf>
    <xf numFmtId="164" fontId="6" fillId="10" borderId="0" xfId="0" applyNumberFormat="1" applyFont="1" applyFill="1" applyAlignment="1">
      <alignment horizontal="center"/>
    </xf>
    <xf numFmtId="0" fontId="6" fillId="10" borderId="8" xfId="0" applyFont="1" applyFill="1" applyBorder="1" applyAlignment="1">
      <alignment horizontal="left"/>
    </xf>
    <xf numFmtId="0" fontId="13" fillId="10" borderId="8" xfId="0" applyFont="1" applyFill="1" applyBorder="1" applyAlignment="1">
      <alignment horizontal="center"/>
    </xf>
    <xf numFmtId="0" fontId="13" fillId="10" borderId="8" xfId="0" applyFont="1" applyFill="1" applyBorder="1"/>
    <xf numFmtId="0" fontId="6" fillId="10" borderId="15" xfId="0" applyFont="1" applyFill="1" applyBorder="1" applyAlignment="1">
      <alignment horizontal="left" vertical="center"/>
    </xf>
    <xf numFmtId="0" fontId="6" fillId="10" borderId="8" xfId="0" applyFont="1" applyFill="1" applyBorder="1" applyAlignment="1">
      <alignment horizontal="left" vertical="center"/>
    </xf>
    <xf numFmtId="44" fontId="6" fillId="10" borderId="8" xfId="0" applyNumberFormat="1" applyFont="1" applyFill="1" applyBorder="1" applyAlignment="1">
      <alignment vertical="center"/>
    </xf>
    <xf numFmtId="0" fontId="6" fillId="10" borderId="10" xfId="0" applyFont="1" applyFill="1" applyBorder="1" applyAlignment="1">
      <alignment horizontal="left" vertical="center"/>
    </xf>
    <xf numFmtId="0" fontId="6" fillId="10" borderId="11" xfId="0" applyFont="1" applyFill="1" applyBorder="1" applyAlignment="1">
      <alignment horizontal="left" vertical="center"/>
    </xf>
    <xf numFmtId="44" fontId="6" fillId="10" borderId="11" xfId="0" applyNumberFormat="1" applyFont="1" applyFill="1" applyBorder="1" applyAlignment="1">
      <alignment vertical="center"/>
    </xf>
    <xf numFmtId="0" fontId="6" fillId="10" borderId="19" xfId="0" applyFont="1" applyFill="1" applyBorder="1" applyAlignment="1">
      <alignment horizontal="left" vertical="center"/>
    </xf>
    <xf numFmtId="0" fontId="6" fillId="10" borderId="15" xfId="0" applyFont="1" applyFill="1" applyBorder="1"/>
    <xf numFmtId="0" fontId="6" fillId="10" borderId="8" xfId="0" applyFont="1" applyFill="1" applyBorder="1" applyAlignment="1">
      <alignment horizontal="center"/>
    </xf>
    <xf numFmtId="0" fontId="6" fillId="10" borderId="10" xfId="0" applyFont="1" applyFill="1" applyBorder="1"/>
    <xf numFmtId="0" fontId="6" fillId="10" borderId="11" xfId="0" applyFont="1" applyFill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0" fillId="0" borderId="3" xfId="0" applyBorder="1"/>
    <xf numFmtId="0" fontId="5" fillId="11" borderId="2" xfId="0" applyFont="1" applyFill="1" applyBorder="1" applyAlignment="1">
      <alignment horizontal="left"/>
    </xf>
    <xf numFmtId="0" fontId="0" fillId="11" borderId="3" xfId="0" applyFill="1" applyBorder="1"/>
    <xf numFmtId="0" fontId="4" fillId="8" borderId="2" xfId="0" applyFont="1" applyFill="1" applyBorder="1" applyAlignment="1">
      <alignment horizontal="left" vertical="center"/>
    </xf>
    <xf numFmtId="0" fontId="4" fillId="8" borderId="3" xfId="0" applyFont="1" applyFill="1" applyBorder="1" applyAlignment="1">
      <alignment horizontal="center" vertical="center"/>
    </xf>
    <xf numFmtId="0" fontId="0" fillId="8" borderId="3" xfId="0" applyFill="1" applyBorder="1"/>
    <xf numFmtId="0" fontId="4" fillId="5" borderId="2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9" fillId="13" borderId="2" xfId="0" applyFont="1" applyFill="1" applyBorder="1" applyAlignment="1">
      <alignment vertical="center"/>
    </xf>
    <xf numFmtId="0" fontId="0" fillId="13" borderId="3" xfId="0" applyFill="1" applyBorder="1" applyAlignment="1">
      <alignment vertical="center"/>
    </xf>
    <xf numFmtId="0" fontId="9" fillId="13" borderId="3" xfId="0" applyFont="1" applyFill="1" applyBorder="1" applyAlignment="1">
      <alignment horizontal="center" vertical="center"/>
    </xf>
    <xf numFmtId="0" fontId="0" fillId="13" borderId="8" xfId="0" applyFill="1" applyBorder="1" applyAlignment="1">
      <alignment vertical="center"/>
    </xf>
    <xf numFmtId="0" fontId="0" fillId="13" borderId="11" xfId="0" applyFill="1" applyBorder="1" applyAlignment="1">
      <alignment vertical="center"/>
    </xf>
    <xf numFmtId="0" fontId="11" fillId="13" borderId="3" xfId="0" applyFont="1" applyFill="1" applyBorder="1" applyAlignment="1">
      <alignment vertical="center"/>
    </xf>
    <xf numFmtId="9" fontId="10" fillId="13" borderId="20" xfId="0" applyNumberFormat="1" applyFont="1" applyFill="1" applyBorder="1" applyAlignment="1">
      <alignment horizontal="center" vertical="center"/>
    </xf>
    <xf numFmtId="0" fontId="9" fillId="14" borderId="2" xfId="0" applyFont="1" applyFill="1" applyBorder="1" applyAlignment="1">
      <alignment vertical="center"/>
    </xf>
    <xf numFmtId="9" fontId="10" fillId="14" borderId="20" xfId="0" applyNumberFormat="1" applyFont="1" applyFill="1" applyBorder="1" applyAlignment="1">
      <alignment horizontal="center" vertical="center"/>
    </xf>
    <xf numFmtId="0" fontId="0" fillId="14" borderId="3" xfId="0" applyFill="1" applyBorder="1"/>
    <xf numFmtId="0" fontId="0" fillId="13" borderId="3" xfId="0" applyFill="1" applyBorder="1"/>
    <xf numFmtId="0" fontId="5" fillId="13" borderId="2" xfId="0" applyFont="1" applyFill="1" applyBorder="1" applyAlignment="1">
      <alignment horizontal="left"/>
    </xf>
    <xf numFmtId="0" fontId="0" fillId="4" borderId="3" xfId="0" applyFill="1" applyBorder="1" applyAlignment="1">
      <alignment vertical="center"/>
    </xf>
    <xf numFmtId="0" fontId="9" fillId="4" borderId="3" xfId="0" applyFont="1" applyFill="1" applyBorder="1" applyAlignment="1">
      <alignment horizontal="center" vertical="center"/>
    </xf>
    <xf numFmtId="0" fontId="0" fillId="4" borderId="8" xfId="0" applyFill="1" applyBorder="1" applyAlignment="1">
      <alignment vertical="center"/>
    </xf>
    <xf numFmtId="0" fontId="9" fillId="4" borderId="2" xfId="0" applyFont="1" applyFill="1" applyBorder="1" applyAlignment="1">
      <alignment vertical="center"/>
    </xf>
    <xf numFmtId="0" fontId="11" fillId="4" borderId="3" xfId="0" applyFont="1" applyFill="1" applyBorder="1" applyAlignment="1">
      <alignment vertical="center"/>
    </xf>
    <xf numFmtId="9" fontId="10" fillId="4" borderId="20" xfId="0" applyNumberFormat="1" applyFont="1" applyFill="1" applyBorder="1" applyAlignment="1">
      <alignment horizontal="center" vertical="center"/>
    </xf>
    <xf numFmtId="0" fontId="6" fillId="13" borderId="15" xfId="0" applyFont="1" applyFill="1" applyBorder="1" applyAlignment="1">
      <alignment horizontal="left" vertical="center"/>
    </xf>
    <xf numFmtId="0" fontId="6" fillId="13" borderId="10" xfId="0" applyFont="1" applyFill="1" applyBorder="1" applyAlignment="1">
      <alignment horizontal="left" vertical="center"/>
    </xf>
    <xf numFmtId="9" fontId="1" fillId="4" borderId="23" xfId="1" applyFill="1" applyBorder="1" applyAlignment="1" applyProtection="1">
      <alignment horizontal="center"/>
      <protection locked="0"/>
    </xf>
    <xf numFmtId="9" fontId="1" fillId="4" borderId="24" xfId="1" applyFill="1" applyBorder="1" applyAlignment="1" applyProtection="1">
      <alignment horizontal="center"/>
      <protection locked="0"/>
    </xf>
    <xf numFmtId="9" fontId="1" fillId="13" borderId="23" xfId="1" applyFill="1" applyBorder="1" applyAlignment="1" applyProtection="1">
      <alignment horizontal="center"/>
      <protection locked="0"/>
    </xf>
    <xf numFmtId="9" fontId="1" fillId="13" borderId="24" xfId="1" applyFill="1" applyBorder="1" applyAlignment="1" applyProtection="1">
      <alignment horizontal="center"/>
      <protection locked="0"/>
    </xf>
    <xf numFmtId="0" fontId="4" fillId="11" borderId="3" xfId="0" applyFont="1" applyFill="1" applyBorder="1" applyAlignment="1">
      <alignment horizontal="center" vertical="center"/>
    </xf>
    <xf numFmtId="9" fontId="5" fillId="12" borderId="25" xfId="1" applyFont="1" applyFill="1" applyBorder="1" applyAlignment="1">
      <alignment horizontal="center"/>
    </xf>
    <xf numFmtId="0" fontId="4" fillId="0" borderId="25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44" fontId="5" fillId="5" borderId="5" xfId="0" applyNumberFormat="1" applyFont="1" applyFill="1" applyBorder="1" applyAlignment="1">
      <alignment vertical="center"/>
    </xf>
    <xf numFmtId="44" fontId="5" fillId="5" borderId="4" xfId="0" applyNumberFormat="1" applyFont="1" applyFill="1" applyBorder="1" applyAlignment="1">
      <alignment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44" fontId="7" fillId="4" borderId="8" xfId="0" applyNumberFormat="1" applyFont="1" applyFill="1" applyBorder="1" applyAlignment="1">
      <alignment horizontal="center"/>
    </xf>
    <xf numFmtId="44" fontId="7" fillId="4" borderId="9" xfId="0" applyNumberFormat="1" applyFont="1" applyFill="1" applyBorder="1" applyAlignment="1">
      <alignment horizontal="center"/>
    </xf>
    <xf numFmtId="44" fontId="7" fillId="4" borderId="11" xfId="0" applyNumberFormat="1" applyFont="1" applyFill="1" applyBorder="1" applyAlignment="1">
      <alignment horizontal="center"/>
    </xf>
    <xf numFmtId="44" fontId="7" fillId="4" borderId="12" xfId="0" applyNumberFormat="1" applyFont="1" applyFill="1" applyBorder="1" applyAlignment="1">
      <alignment horizontal="center"/>
    </xf>
    <xf numFmtId="44" fontId="5" fillId="4" borderId="5" xfId="0" applyNumberFormat="1" applyFont="1" applyFill="1" applyBorder="1" applyAlignment="1">
      <alignment horizontal="center" vertical="center"/>
    </xf>
    <xf numFmtId="44" fontId="5" fillId="4" borderId="3" xfId="0" applyNumberFormat="1" applyFont="1" applyFill="1" applyBorder="1" applyAlignment="1">
      <alignment horizontal="center" vertical="center"/>
    </xf>
    <xf numFmtId="44" fontId="5" fillId="4" borderId="17" xfId="0" applyNumberFormat="1" applyFont="1" applyFill="1" applyBorder="1" applyAlignment="1">
      <alignment horizontal="center" vertical="center"/>
    </xf>
    <xf numFmtId="44" fontId="5" fillId="4" borderId="5" xfId="0" applyNumberFormat="1" applyFont="1" applyFill="1" applyBorder="1" applyAlignment="1">
      <alignment vertical="center"/>
    </xf>
    <xf numFmtId="44" fontId="5" fillId="4" borderId="4" xfId="0" applyNumberFormat="1" applyFont="1" applyFill="1" applyBorder="1" applyAlignment="1">
      <alignment vertical="center"/>
    </xf>
    <xf numFmtId="0" fontId="6" fillId="4" borderId="8" xfId="0" applyFont="1" applyFill="1" applyBorder="1" applyAlignment="1">
      <alignment horizontal="center"/>
    </xf>
    <xf numFmtId="44" fontId="6" fillId="4" borderId="8" xfId="0" applyNumberFormat="1" applyFont="1" applyFill="1" applyBorder="1" applyAlignment="1">
      <alignment horizontal="center"/>
    </xf>
    <xf numFmtId="44" fontId="6" fillId="4" borderId="9" xfId="0" applyNumberFormat="1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44" fontId="6" fillId="4" borderId="11" xfId="0" applyNumberFormat="1" applyFont="1" applyFill="1" applyBorder="1" applyAlignment="1">
      <alignment horizontal="center"/>
    </xf>
    <xf numFmtId="44" fontId="6" fillId="4" borderId="12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44" fontId="6" fillId="4" borderId="15" xfId="0" applyNumberFormat="1" applyFont="1" applyFill="1" applyBorder="1" applyAlignment="1">
      <alignment horizontal="center"/>
    </xf>
    <xf numFmtId="44" fontId="6" fillId="4" borderId="15" xfId="0" applyNumberFormat="1" applyFont="1" applyFill="1" applyBorder="1" applyAlignment="1">
      <alignment horizontal="right"/>
    </xf>
    <xf numFmtId="44" fontId="6" fillId="4" borderId="9" xfId="0" applyNumberFormat="1" applyFont="1" applyFill="1" applyBorder="1" applyAlignment="1">
      <alignment horizontal="right"/>
    </xf>
    <xf numFmtId="44" fontId="6" fillId="4" borderId="10" xfId="0" applyNumberFormat="1" applyFont="1" applyFill="1" applyBorder="1" applyAlignment="1">
      <alignment horizontal="center"/>
    </xf>
    <xf numFmtId="44" fontId="6" fillId="4" borderId="10" xfId="0" applyNumberFormat="1" applyFont="1" applyFill="1" applyBorder="1" applyAlignment="1">
      <alignment horizontal="right"/>
    </xf>
    <xf numFmtId="44" fontId="6" fillId="4" borderId="12" xfId="0" applyNumberFormat="1" applyFont="1" applyFill="1" applyBorder="1" applyAlignment="1">
      <alignment horizontal="right"/>
    </xf>
    <xf numFmtId="44" fontId="5" fillId="6" borderId="5" xfId="0" applyNumberFormat="1" applyFont="1" applyFill="1" applyBorder="1" applyAlignment="1">
      <alignment horizontal="right" vertical="center"/>
    </xf>
    <xf numFmtId="44" fontId="5" fillId="6" borderId="4" xfId="0" applyNumberFormat="1" applyFont="1" applyFill="1" applyBorder="1" applyAlignment="1">
      <alignment horizontal="right" vertical="center"/>
    </xf>
    <xf numFmtId="44" fontId="5" fillId="8" borderId="5" xfId="0" applyNumberFormat="1" applyFont="1" applyFill="1" applyBorder="1" applyAlignment="1">
      <alignment vertical="center"/>
    </xf>
    <xf numFmtId="44" fontId="5" fillId="8" borderId="4" xfId="0" applyNumberFormat="1" applyFont="1" applyFill="1" applyBorder="1" applyAlignment="1">
      <alignment vertical="center"/>
    </xf>
    <xf numFmtId="0" fontId="4" fillId="8" borderId="3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44" fontId="7" fillId="7" borderId="8" xfId="0" applyNumberFormat="1" applyFont="1" applyFill="1" applyBorder="1" applyAlignment="1">
      <alignment horizontal="center"/>
    </xf>
    <xf numFmtId="44" fontId="7" fillId="7" borderId="9" xfId="0" applyNumberFormat="1" applyFont="1" applyFill="1" applyBorder="1" applyAlignment="1">
      <alignment horizontal="center"/>
    </xf>
    <xf numFmtId="0" fontId="6" fillId="7" borderId="0" xfId="0" applyFont="1" applyFill="1" applyAlignment="1">
      <alignment horizontal="center" vertical="center"/>
    </xf>
    <xf numFmtId="44" fontId="7" fillId="7" borderId="0" xfId="0" applyNumberFormat="1" applyFont="1" applyFill="1" applyAlignment="1">
      <alignment horizontal="center"/>
    </xf>
    <xf numFmtId="44" fontId="7" fillId="7" borderId="18" xfId="0" applyNumberFormat="1" applyFont="1" applyFill="1" applyBorder="1" applyAlignment="1">
      <alignment horizontal="center"/>
    </xf>
    <xf numFmtId="0" fontId="6" fillId="7" borderId="11" xfId="0" applyFont="1" applyFill="1" applyBorder="1" applyAlignment="1">
      <alignment horizontal="center" vertical="center"/>
    </xf>
    <xf numFmtId="44" fontId="7" fillId="7" borderId="11" xfId="0" applyNumberFormat="1" applyFont="1" applyFill="1" applyBorder="1" applyAlignment="1">
      <alignment horizontal="center"/>
    </xf>
    <xf numFmtId="44" fontId="7" fillId="7" borderId="12" xfId="0" applyNumberFormat="1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/>
    </xf>
    <xf numFmtId="0" fontId="4" fillId="7" borderId="13" xfId="0" applyFont="1" applyFill="1" applyBorder="1" applyAlignment="1">
      <alignment horizontal="center"/>
    </xf>
    <xf numFmtId="0" fontId="6" fillId="7" borderId="8" xfId="0" applyFont="1" applyFill="1" applyBorder="1" applyAlignment="1">
      <alignment horizontal="center"/>
    </xf>
    <xf numFmtId="44" fontId="6" fillId="7" borderId="8" xfId="0" applyNumberFormat="1" applyFont="1" applyFill="1" applyBorder="1" applyAlignment="1">
      <alignment horizontal="center"/>
    </xf>
    <xf numFmtId="44" fontId="6" fillId="7" borderId="9" xfId="0" applyNumberFormat="1" applyFont="1" applyFill="1" applyBorder="1" applyAlignment="1">
      <alignment horizontal="center"/>
    </xf>
    <xf numFmtId="0" fontId="6" fillId="7" borderId="0" xfId="0" applyFont="1" applyFill="1" applyAlignment="1">
      <alignment horizontal="center"/>
    </xf>
    <xf numFmtId="44" fontId="6" fillId="7" borderId="0" xfId="0" applyNumberFormat="1" applyFont="1" applyFill="1" applyAlignment="1">
      <alignment horizontal="center"/>
    </xf>
    <xf numFmtId="44" fontId="6" fillId="7" borderId="18" xfId="0" applyNumberFormat="1" applyFont="1" applyFill="1" applyBorder="1" applyAlignment="1">
      <alignment horizontal="center"/>
    </xf>
    <xf numFmtId="0" fontId="6" fillId="7" borderId="2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/>
    </xf>
    <xf numFmtId="44" fontId="6" fillId="7" borderId="11" xfId="0" applyNumberFormat="1" applyFont="1" applyFill="1" applyBorder="1" applyAlignment="1">
      <alignment horizontal="center"/>
    </xf>
    <xf numFmtId="44" fontId="6" fillId="7" borderId="12" xfId="0" applyNumberFormat="1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0" fontId="6" fillId="5" borderId="4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left" vertical="center"/>
    </xf>
    <xf numFmtId="0" fontId="4" fillId="8" borderId="3" xfId="0" applyFont="1" applyFill="1" applyBorder="1" applyAlignment="1">
      <alignment horizontal="left" vertical="center"/>
    </xf>
    <xf numFmtId="0" fontId="4" fillId="8" borderId="4" xfId="0" applyFont="1" applyFill="1" applyBorder="1" applyAlignment="1">
      <alignment horizontal="left" vertical="center"/>
    </xf>
    <xf numFmtId="44" fontId="6" fillId="7" borderId="15" xfId="0" applyNumberFormat="1" applyFont="1" applyFill="1" applyBorder="1" applyAlignment="1">
      <alignment horizontal="center"/>
    </xf>
    <xf numFmtId="44" fontId="6" fillId="7" borderId="15" xfId="0" applyNumberFormat="1" applyFont="1" applyFill="1" applyBorder="1" applyAlignment="1">
      <alignment horizontal="right"/>
    </xf>
    <xf numFmtId="44" fontId="6" fillId="7" borderId="9" xfId="0" applyNumberFormat="1" applyFont="1" applyFill="1" applyBorder="1" applyAlignment="1">
      <alignment horizontal="right"/>
    </xf>
    <xf numFmtId="44" fontId="6" fillId="7" borderId="10" xfId="0" applyNumberFormat="1" applyFont="1" applyFill="1" applyBorder="1" applyAlignment="1">
      <alignment horizontal="center"/>
    </xf>
    <xf numFmtId="44" fontId="6" fillId="7" borderId="10" xfId="0" applyNumberFormat="1" applyFont="1" applyFill="1" applyBorder="1" applyAlignment="1">
      <alignment horizontal="right"/>
    </xf>
    <xf numFmtId="44" fontId="6" fillId="7" borderId="12" xfId="0" applyNumberFormat="1" applyFont="1" applyFill="1" applyBorder="1" applyAlignment="1">
      <alignment horizontal="right"/>
    </xf>
    <xf numFmtId="0" fontId="4" fillId="8" borderId="2" xfId="0" applyFont="1" applyFill="1" applyBorder="1" applyAlignment="1">
      <alignment horizontal="center" vertical="center"/>
    </xf>
    <xf numFmtId="44" fontId="5" fillId="7" borderId="5" xfId="0" applyNumberFormat="1" applyFont="1" applyFill="1" applyBorder="1" applyAlignment="1">
      <alignment horizontal="center" vertical="center"/>
    </xf>
    <xf numFmtId="44" fontId="5" fillId="7" borderId="3" xfId="0" applyNumberFormat="1" applyFont="1" applyFill="1" applyBorder="1" applyAlignment="1">
      <alignment horizontal="center" vertical="center"/>
    </xf>
    <xf numFmtId="44" fontId="5" fillId="7" borderId="17" xfId="0" applyNumberFormat="1" applyFont="1" applyFill="1" applyBorder="1" applyAlignment="1">
      <alignment horizontal="center" vertical="center"/>
    </xf>
    <xf numFmtId="44" fontId="5" fillId="7" borderId="5" xfId="0" applyNumberFormat="1" applyFont="1" applyFill="1" applyBorder="1" applyAlignment="1">
      <alignment vertical="center"/>
    </xf>
    <xf numFmtId="44" fontId="5" fillId="7" borderId="4" xfId="0" applyNumberFormat="1" applyFont="1" applyFill="1" applyBorder="1" applyAlignment="1">
      <alignment vertical="center"/>
    </xf>
    <xf numFmtId="0" fontId="0" fillId="0" borderId="0" xfId="0"/>
    <xf numFmtId="0" fontId="16" fillId="4" borderId="2" xfId="3" applyFont="1" applyFill="1" applyBorder="1" applyAlignment="1" applyProtection="1">
      <alignment horizontal="center"/>
    </xf>
    <xf numFmtId="0" fontId="16" fillId="4" borderId="4" xfId="3" applyFont="1" applyFill="1" applyBorder="1" applyAlignment="1" applyProtection="1">
      <alignment horizontal="center"/>
    </xf>
    <xf numFmtId="9" fontId="6" fillId="4" borderId="8" xfId="0" applyNumberFormat="1" applyFont="1" applyFill="1" applyBorder="1" applyAlignment="1">
      <alignment horizontal="center"/>
    </xf>
    <xf numFmtId="9" fontId="6" fillId="4" borderId="11" xfId="0" applyNumberFormat="1" applyFont="1" applyFill="1" applyBorder="1" applyAlignment="1">
      <alignment horizontal="center"/>
    </xf>
    <xf numFmtId="44" fontId="5" fillId="6" borderId="5" xfId="0" applyNumberFormat="1" applyFont="1" applyFill="1" applyBorder="1" applyAlignment="1">
      <alignment horizontal="center" vertical="center"/>
    </xf>
    <xf numFmtId="44" fontId="5" fillId="6" borderId="4" xfId="0" applyNumberFormat="1" applyFont="1" applyFill="1" applyBorder="1" applyAlignment="1">
      <alignment horizontal="center" vertical="center"/>
    </xf>
    <xf numFmtId="0" fontId="17" fillId="4" borderId="2" xfId="3" applyFont="1" applyFill="1" applyBorder="1" applyAlignment="1" applyProtection="1">
      <alignment horizontal="center" vertical="center"/>
    </xf>
    <xf numFmtId="0" fontId="17" fillId="4" borderId="17" xfId="3" applyFont="1" applyFill="1" applyBorder="1" applyAlignment="1" applyProtection="1">
      <alignment horizontal="center" vertical="center"/>
    </xf>
    <xf numFmtId="0" fontId="13" fillId="4" borderId="2" xfId="0" applyFont="1" applyFill="1" applyBorder="1" applyAlignment="1">
      <alignment horizontal="center"/>
    </xf>
    <xf numFmtId="0" fontId="13" fillId="4" borderId="4" xfId="0" applyFont="1" applyFill="1" applyBorder="1" applyAlignment="1">
      <alignment horizontal="center"/>
    </xf>
    <xf numFmtId="0" fontId="14" fillId="10" borderId="2" xfId="3" applyFont="1" applyFill="1" applyBorder="1" applyAlignment="1" applyProtection="1">
      <alignment horizontal="left"/>
    </xf>
    <xf numFmtId="0" fontId="14" fillId="10" borderId="4" xfId="3" applyFont="1" applyFill="1" applyBorder="1" applyAlignment="1" applyProtection="1">
      <alignment horizontal="left"/>
    </xf>
    <xf numFmtId="0" fontId="6" fillId="4" borderId="22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44" fontId="6" fillId="4" borderId="3" xfId="0" applyNumberFormat="1" applyFont="1" applyFill="1" applyBorder="1" applyAlignment="1">
      <alignment horizontal="center"/>
    </xf>
    <xf numFmtId="44" fontId="6" fillId="4" borderId="4" xfId="0" applyNumberFormat="1" applyFont="1" applyFill="1" applyBorder="1" applyAlignment="1">
      <alignment horizontal="center"/>
    </xf>
    <xf numFmtId="44" fontId="15" fillId="6" borderId="2" xfId="2" applyNumberFormat="1" applyFont="1" applyFill="1" applyBorder="1" applyAlignment="1" applyProtection="1">
      <alignment horizontal="right" vertical="center"/>
    </xf>
    <xf numFmtId="44" fontId="15" fillId="6" borderId="4" xfId="2" applyNumberFormat="1" applyFont="1" applyFill="1" applyBorder="1" applyAlignment="1" applyProtection="1">
      <alignment horizontal="right" vertical="center"/>
    </xf>
    <xf numFmtId="0" fontId="6" fillId="4" borderId="3" xfId="0" applyFont="1" applyFill="1" applyBorder="1" applyAlignment="1">
      <alignment horizontal="center" vertical="center"/>
    </xf>
    <xf numFmtId="44" fontId="6" fillId="4" borderId="23" xfId="0" applyNumberFormat="1" applyFont="1" applyFill="1" applyBorder="1" applyAlignment="1">
      <alignment horizontal="right"/>
    </xf>
    <xf numFmtId="44" fontId="6" fillId="4" borderId="24" xfId="0" applyNumberFormat="1" applyFont="1" applyFill="1" applyBorder="1" applyAlignment="1">
      <alignment horizontal="right"/>
    </xf>
    <xf numFmtId="0" fontId="16" fillId="10" borderId="2" xfId="3" applyFont="1" applyFill="1" applyBorder="1" applyAlignment="1" applyProtection="1">
      <alignment horizontal="center"/>
    </xf>
    <xf numFmtId="0" fontId="16" fillId="10" borderId="4" xfId="3" applyFont="1" applyFill="1" applyBorder="1" applyAlignment="1" applyProtection="1">
      <alignment horizontal="center"/>
    </xf>
    <xf numFmtId="0" fontId="13" fillId="10" borderId="2" xfId="0" applyFont="1" applyFill="1" applyBorder="1" applyAlignment="1">
      <alignment horizontal="center"/>
    </xf>
    <xf numFmtId="0" fontId="13" fillId="10" borderId="4" xfId="0" applyFont="1" applyFill="1" applyBorder="1" applyAlignment="1">
      <alignment horizontal="center"/>
    </xf>
    <xf numFmtId="0" fontId="17" fillId="10" borderId="2" xfId="3" applyFont="1" applyFill="1" applyBorder="1" applyAlignment="1" applyProtection="1">
      <alignment horizontal="center" vertical="center"/>
    </xf>
    <xf numFmtId="0" fontId="17" fillId="10" borderId="17" xfId="3" applyFont="1" applyFill="1" applyBorder="1" applyAlignment="1" applyProtection="1">
      <alignment horizontal="center" vertical="center"/>
    </xf>
    <xf numFmtId="0" fontId="6" fillId="10" borderId="22" xfId="0" applyFont="1" applyFill="1" applyBorder="1" applyAlignment="1">
      <alignment horizontal="center"/>
    </xf>
    <xf numFmtId="0" fontId="6" fillId="10" borderId="4" xfId="0" applyFont="1" applyFill="1" applyBorder="1" applyAlignment="1">
      <alignment horizontal="center"/>
    </xf>
    <xf numFmtId="44" fontId="6" fillId="10" borderId="11" xfId="0" applyNumberFormat="1" applyFont="1" applyFill="1" applyBorder="1" applyAlignment="1">
      <alignment horizontal="center"/>
    </xf>
    <xf numFmtId="44" fontId="6" fillId="10" borderId="12" xfId="0" applyNumberFormat="1" applyFont="1" applyFill="1" applyBorder="1" applyAlignment="1">
      <alignment horizontal="center"/>
    </xf>
    <xf numFmtId="44" fontId="4" fillId="10" borderId="5" xfId="0" applyNumberFormat="1" applyFont="1" applyFill="1" applyBorder="1" applyAlignment="1">
      <alignment horizontal="center"/>
    </xf>
    <xf numFmtId="44" fontId="4" fillId="10" borderId="4" xfId="0" applyNumberFormat="1" applyFont="1" applyFill="1" applyBorder="1" applyAlignment="1">
      <alignment horizontal="center"/>
    </xf>
    <xf numFmtId="44" fontId="6" fillId="10" borderId="8" xfId="0" applyNumberFormat="1" applyFont="1" applyFill="1" applyBorder="1" applyAlignment="1">
      <alignment horizontal="center"/>
    </xf>
    <xf numFmtId="44" fontId="6" fillId="10" borderId="9" xfId="0" applyNumberFormat="1" applyFont="1" applyFill="1" applyBorder="1" applyAlignment="1">
      <alignment horizontal="center"/>
    </xf>
    <xf numFmtId="9" fontId="6" fillId="10" borderId="8" xfId="0" applyNumberFormat="1" applyFont="1" applyFill="1" applyBorder="1" applyAlignment="1">
      <alignment horizontal="center"/>
    </xf>
    <xf numFmtId="9" fontId="6" fillId="10" borderId="11" xfId="0" applyNumberFormat="1" applyFont="1" applyFill="1" applyBorder="1" applyAlignment="1">
      <alignment horizontal="center"/>
    </xf>
    <xf numFmtId="44" fontId="6" fillId="10" borderId="8" xfId="0" applyNumberFormat="1" applyFont="1" applyFill="1" applyBorder="1" applyAlignment="1">
      <alignment horizontal="center" vertical="center"/>
    </xf>
    <xf numFmtId="44" fontId="6" fillId="10" borderId="9" xfId="0" applyNumberFormat="1" applyFont="1" applyFill="1" applyBorder="1" applyAlignment="1">
      <alignment horizontal="center" vertical="center"/>
    </xf>
    <xf numFmtId="44" fontId="6" fillId="10" borderId="11" xfId="0" applyNumberFormat="1" applyFont="1" applyFill="1" applyBorder="1" applyAlignment="1">
      <alignment horizontal="center" vertical="center"/>
    </xf>
    <xf numFmtId="44" fontId="6" fillId="10" borderId="12" xfId="0" applyNumberFormat="1" applyFont="1" applyFill="1" applyBorder="1" applyAlignment="1">
      <alignment horizontal="center" vertical="center"/>
    </xf>
    <xf numFmtId="44" fontId="15" fillId="6" borderId="2" xfId="2" applyNumberFormat="1" applyFont="1" applyFill="1" applyBorder="1" applyAlignment="1" applyProtection="1">
      <alignment horizontal="center" vertical="center"/>
    </xf>
    <xf numFmtId="44" fontId="15" fillId="6" borderId="4" xfId="2" applyNumberFormat="1" applyFont="1" applyFill="1" applyBorder="1" applyAlignment="1" applyProtection="1">
      <alignment horizontal="center" vertical="center"/>
    </xf>
    <xf numFmtId="0" fontId="6" fillId="10" borderId="3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 vertical="center"/>
    </xf>
    <xf numFmtId="44" fontId="5" fillId="0" borderId="14" xfId="0" applyNumberFormat="1" applyFont="1" applyBorder="1" applyAlignment="1">
      <alignment horizontal="center" vertical="center"/>
    </xf>
    <xf numFmtId="44" fontId="5" fillId="0" borderId="4" xfId="0" applyNumberFormat="1" applyFont="1" applyBorder="1" applyAlignment="1">
      <alignment horizontal="center" vertical="center"/>
    </xf>
    <xf numFmtId="44" fontId="5" fillId="0" borderId="3" xfId="0" applyNumberFormat="1" applyFont="1" applyBorder="1" applyAlignment="1">
      <alignment horizontal="center" vertical="center"/>
    </xf>
    <xf numFmtId="0" fontId="9" fillId="13" borderId="3" xfId="0" applyFont="1" applyFill="1" applyBorder="1" applyAlignment="1">
      <alignment horizontal="center" vertical="center"/>
    </xf>
    <xf numFmtId="0" fontId="9" fillId="13" borderId="4" xfId="0" applyFont="1" applyFill="1" applyBorder="1" applyAlignment="1">
      <alignment horizontal="center" vertical="center"/>
    </xf>
    <xf numFmtId="44" fontId="10" fillId="13" borderId="2" xfId="0" applyNumberFormat="1" applyFont="1" applyFill="1" applyBorder="1" applyAlignment="1">
      <alignment horizontal="center" vertical="center"/>
    </xf>
    <xf numFmtId="44" fontId="10" fillId="13" borderId="4" xfId="0" applyNumberFormat="1" applyFont="1" applyFill="1" applyBorder="1" applyAlignment="1">
      <alignment horizontal="center" vertical="center"/>
    </xf>
    <xf numFmtId="44" fontId="10" fillId="14" borderId="2" xfId="0" applyNumberFormat="1" applyFont="1" applyFill="1" applyBorder="1" applyAlignment="1">
      <alignment horizontal="center" vertical="center"/>
    </xf>
    <xf numFmtId="44" fontId="10" fillId="14" borderId="4" xfId="0" applyNumberFormat="1" applyFont="1" applyFill="1" applyBorder="1" applyAlignment="1">
      <alignment horizontal="center" vertical="center"/>
    </xf>
    <xf numFmtId="44" fontId="0" fillId="13" borderId="23" xfId="0" applyNumberFormat="1" applyFill="1" applyBorder="1" applyAlignment="1">
      <alignment horizontal="center" vertical="center"/>
    </xf>
    <xf numFmtId="44" fontId="0" fillId="13" borderId="9" xfId="0" applyNumberFormat="1" applyFill="1" applyBorder="1" applyAlignment="1">
      <alignment horizontal="center" vertical="center"/>
    </xf>
    <xf numFmtId="44" fontId="0" fillId="13" borderId="24" xfId="0" applyNumberFormat="1" applyFill="1" applyBorder="1" applyAlignment="1">
      <alignment horizontal="center" vertical="center"/>
    </xf>
    <xf numFmtId="44" fontId="0" fillId="13" borderId="12" xfId="0" applyNumberForma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44" fontId="0" fillId="4" borderId="23" xfId="0" applyNumberFormat="1" applyFill="1" applyBorder="1" applyAlignment="1">
      <alignment horizontal="center" vertical="center"/>
    </xf>
    <xf numFmtId="44" fontId="0" fillId="4" borderId="9" xfId="0" applyNumberFormat="1" applyFill="1" applyBorder="1" applyAlignment="1">
      <alignment horizontal="center" vertical="center"/>
    </xf>
    <xf numFmtId="44" fontId="0" fillId="4" borderId="24" xfId="0" applyNumberFormat="1" applyFill="1" applyBorder="1" applyAlignment="1">
      <alignment horizontal="center" vertical="center"/>
    </xf>
    <xf numFmtId="44" fontId="0" fillId="4" borderId="12" xfId="0" applyNumberFormat="1" applyFill="1" applyBorder="1" applyAlignment="1">
      <alignment horizontal="center" vertical="center"/>
    </xf>
    <xf numFmtId="44" fontId="10" fillId="4" borderId="10" xfId="0" applyNumberFormat="1" applyFont="1" applyFill="1" applyBorder="1" applyAlignment="1">
      <alignment horizontal="center" vertical="center"/>
    </xf>
    <xf numFmtId="44" fontId="10" fillId="4" borderId="12" xfId="0" applyNumberFormat="1" applyFont="1" applyFill="1" applyBorder="1" applyAlignment="1">
      <alignment horizontal="center" vertical="center"/>
    </xf>
    <xf numFmtId="44" fontId="6" fillId="4" borderId="8" xfId="0" applyNumberFormat="1" applyFont="1" applyFill="1" applyBorder="1" applyAlignment="1">
      <alignment horizontal="center" vertical="center"/>
    </xf>
    <xf numFmtId="44" fontId="6" fillId="4" borderId="9" xfId="0" applyNumberFormat="1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11" xfId="1" applyNumberFormat="1" applyFont="1" applyFill="1" applyBorder="1" applyAlignment="1" applyProtection="1">
      <alignment horizontal="center" vertical="center"/>
    </xf>
    <xf numFmtId="0" fontId="6" fillId="4" borderId="7" xfId="0" applyFont="1" applyFill="1" applyBorder="1" applyAlignment="1">
      <alignment horizontal="center"/>
    </xf>
    <xf numFmtId="44" fontId="6" fillId="4" borderId="11" xfId="0" applyNumberFormat="1" applyFont="1" applyFill="1" applyBorder="1" applyAlignment="1">
      <alignment horizontal="right"/>
    </xf>
    <xf numFmtId="0" fontId="6" fillId="0" borderId="37" xfId="0" applyFont="1" applyBorder="1"/>
    <xf numFmtId="0" fontId="6" fillId="0" borderId="39" xfId="0" applyFont="1" applyBorder="1"/>
    <xf numFmtId="0" fontId="7" fillId="16" borderId="27" xfId="0" applyFont="1" applyFill="1" applyBorder="1" applyAlignment="1">
      <alignment horizontal="center"/>
    </xf>
    <xf numFmtId="165" fontId="7" fillId="16" borderId="27" xfId="0" applyNumberFormat="1" applyFont="1" applyFill="1" applyBorder="1"/>
    <xf numFmtId="10" fontId="7" fillId="16" borderId="27" xfId="0" applyNumberFormat="1" applyFont="1" applyFill="1" applyBorder="1"/>
    <xf numFmtId="165" fontId="7" fillId="16" borderId="27" xfId="0" applyNumberFormat="1" applyFont="1" applyFill="1" applyBorder="1" applyAlignment="1">
      <alignment horizontal="center"/>
    </xf>
    <xf numFmtId="0" fontId="7" fillId="8" borderId="27" xfId="0" applyFont="1" applyFill="1" applyBorder="1" applyAlignment="1">
      <alignment horizontal="center"/>
    </xf>
    <xf numFmtId="165" fontId="7" fillId="8" borderId="27" xfId="0" applyNumberFormat="1" applyFont="1" applyFill="1" applyBorder="1"/>
    <xf numFmtId="10" fontId="7" fillId="8" borderId="27" xfId="0" applyNumberFormat="1" applyFont="1" applyFill="1" applyBorder="1"/>
    <xf numFmtId="165" fontId="7" fillId="8" borderId="27" xfId="0" applyNumberFormat="1" applyFont="1" applyFill="1" applyBorder="1" applyAlignment="1">
      <alignment horizontal="center"/>
    </xf>
    <xf numFmtId="0" fontId="7" fillId="15" borderId="27" xfId="0" applyFont="1" applyFill="1" applyBorder="1" applyAlignment="1">
      <alignment horizontal="center"/>
    </xf>
    <xf numFmtId="165" fontId="7" fillId="15" borderId="27" xfId="0" applyNumberFormat="1" applyFont="1" applyFill="1" applyBorder="1"/>
    <xf numFmtId="10" fontId="7" fillId="15" borderId="27" xfId="0" applyNumberFormat="1" applyFont="1" applyFill="1" applyBorder="1"/>
    <xf numFmtId="165" fontId="7" fillId="15" borderId="27" xfId="0" applyNumberFormat="1" applyFont="1" applyFill="1" applyBorder="1" applyAlignment="1">
      <alignment horizontal="center"/>
    </xf>
    <xf numFmtId="0" fontId="18" fillId="15" borderId="42" xfId="0" applyFont="1" applyFill="1" applyBorder="1" applyAlignment="1">
      <alignment horizontal="center" vertical="center"/>
    </xf>
    <xf numFmtId="0" fontId="18" fillId="15" borderId="28" xfId="0" applyFont="1" applyFill="1" applyBorder="1" applyAlignment="1">
      <alignment horizontal="center" vertical="center"/>
    </xf>
    <xf numFmtId="0" fontId="18" fillId="15" borderId="29" xfId="0" applyFont="1" applyFill="1" applyBorder="1" applyAlignment="1">
      <alignment horizontal="center" vertical="center"/>
    </xf>
    <xf numFmtId="0" fontId="18" fillId="15" borderId="43" xfId="0" applyFont="1" applyFill="1" applyBorder="1" applyAlignment="1">
      <alignment horizontal="center" vertical="center"/>
    </xf>
    <xf numFmtId="0" fontId="18" fillId="15" borderId="19" xfId="0" applyFont="1" applyFill="1" applyBorder="1" applyAlignment="1">
      <alignment horizontal="center" vertical="center"/>
    </xf>
    <xf numFmtId="0" fontId="18" fillId="15" borderId="32" xfId="0" applyFont="1" applyFill="1" applyBorder="1" applyAlignment="1">
      <alignment horizontal="center" vertical="center"/>
    </xf>
    <xf numFmtId="0" fontId="18" fillId="15" borderId="27" xfId="0" applyFont="1" applyFill="1" applyBorder="1" applyAlignment="1">
      <alignment horizontal="center" vertical="center"/>
    </xf>
    <xf numFmtId="0" fontId="18" fillId="15" borderId="44" xfId="0" applyFont="1" applyFill="1" applyBorder="1" applyAlignment="1">
      <alignment horizontal="center" vertical="center"/>
    </xf>
    <xf numFmtId="0" fontId="18" fillId="8" borderId="42" xfId="0" applyFont="1" applyFill="1" applyBorder="1" applyAlignment="1">
      <alignment horizontal="center" vertical="center"/>
    </xf>
    <xf numFmtId="0" fontId="18" fillId="8" borderId="28" xfId="0" applyFont="1" applyFill="1" applyBorder="1" applyAlignment="1">
      <alignment horizontal="center" vertical="center"/>
    </xf>
    <xf numFmtId="0" fontId="18" fillId="8" borderId="29" xfId="0" applyFont="1" applyFill="1" applyBorder="1" applyAlignment="1">
      <alignment horizontal="center" vertical="center"/>
    </xf>
    <xf numFmtId="0" fontId="18" fillId="8" borderId="43" xfId="0" applyFont="1" applyFill="1" applyBorder="1" applyAlignment="1">
      <alignment horizontal="center" vertical="center"/>
    </xf>
    <xf numFmtId="0" fontId="18" fillId="8" borderId="19" xfId="0" applyFont="1" applyFill="1" applyBorder="1" applyAlignment="1">
      <alignment horizontal="center" vertical="center"/>
    </xf>
    <xf numFmtId="0" fontId="18" fillId="8" borderId="32" xfId="0" applyFont="1" applyFill="1" applyBorder="1" applyAlignment="1">
      <alignment horizontal="center" vertical="center"/>
    </xf>
    <xf numFmtId="0" fontId="18" fillId="8" borderId="27" xfId="0" applyFont="1" applyFill="1" applyBorder="1" applyAlignment="1">
      <alignment horizontal="center" vertical="center"/>
    </xf>
    <xf numFmtId="0" fontId="18" fillId="8" borderId="44" xfId="0" applyFont="1" applyFill="1" applyBorder="1" applyAlignment="1">
      <alignment horizontal="center" vertical="center"/>
    </xf>
    <xf numFmtId="0" fontId="18" fillId="16" borderId="27" xfId="0" applyFont="1" applyFill="1" applyBorder="1" applyAlignment="1">
      <alignment horizontal="center" vertical="center"/>
    </xf>
    <xf numFmtId="0" fontId="18" fillId="16" borderId="28" xfId="0" applyFont="1" applyFill="1" applyBorder="1" applyAlignment="1">
      <alignment horizontal="center" vertical="center"/>
    </xf>
    <xf numFmtId="0" fontId="18" fillId="16" borderId="29" xfId="0" applyFont="1" applyFill="1" applyBorder="1" applyAlignment="1">
      <alignment horizontal="center" vertical="center"/>
    </xf>
    <xf numFmtId="0" fontId="18" fillId="16" borderId="19" xfId="0" applyFont="1" applyFill="1" applyBorder="1" applyAlignment="1">
      <alignment horizontal="center" vertical="center"/>
    </xf>
    <xf numFmtId="0" fontId="18" fillId="16" borderId="32" xfId="0" applyFont="1" applyFill="1" applyBorder="1" applyAlignment="1">
      <alignment horizontal="center" vertical="center"/>
    </xf>
    <xf numFmtId="0" fontId="18" fillId="16" borderId="27" xfId="0" applyFont="1" applyFill="1" applyBorder="1" applyAlignment="1">
      <alignment horizontal="center" vertical="center"/>
    </xf>
    <xf numFmtId="0" fontId="6" fillId="0" borderId="28" xfId="0" applyFont="1" applyBorder="1"/>
    <xf numFmtId="164" fontId="6" fillId="0" borderId="7" xfId="0" applyNumberFormat="1" applyFont="1" applyBorder="1"/>
    <xf numFmtId="10" fontId="6" fillId="0" borderId="29" xfId="1" applyNumberFormat="1" applyFont="1" applyBorder="1" applyProtection="1"/>
    <xf numFmtId="0" fontId="6" fillId="0" borderId="30" xfId="0" applyFont="1" applyBorder="1"/>
    <xf numFmtId="0" fontId="6" fillId="0" borderId="31" xfId="0" applyFont="1" applyBorder="1"/>
    <xf numFmtId="0" fontId="6" fillId="0" borderId="19" xfId="0" applyFont="1" applyBorder="1"/>
    <xf numFmtId="0" fontId="6" fillId="0" borderId="26" xfId="0" applyFont="1" applyBorder="1"/>
    <xf numFmtId="164" fontId="6" fillId="0" borderId="32" xfId="0" applyNumberFormat="1" applyFont="1" applyBorder="1"/>
    <xf numFmtId="164" fontId="6" fillId="0" borderId="0" xfId="0" applyNumberFormat="1" applyFont="1"/>
    <xf numFmtId="165" fontId="6" fillId="0" borderId="0" xfId="0" applyNumberFormat="1" applyFont="1"/>
    <xf numFmtId="0" fontId="6" fillId="0" borderId="0" xfId="0" applyFont="1" applyAlignment="1">
      <alignment horizontal="center" vertical="center" wrapText="1"/>
    </xf>
    <xf numFmtId="166" fontId="6" fillId="0" borderId="0" xfId="0" applyNumberFormat="1" applyFont="1"/>
    <xf numFmtId="10" fontId="6" fillId="0" borderId="0" xfId="1" applyNumberFormat="1" applyFont="1" applyProtection="1"/>
    <xf numFmtId="0" fontId="19" fillId="0" borderId="0" xfId="0" applyFont="1"/>
    <xf numFmtId="0" fontId="20" fillId="2" borderId="33" xfId="2" applyFont="1" applyBorder="1" applyProtection="1"/>
    <xf numFmtId="164" fontId="20" fillId="2" borderId="34" xfId="2" applyNumberFormat="1" applyFont="1" applyBorder="1" applyProtection="1"/>
    <xf numFmtId="0" fontId="6" fillId="0" borderId="0" xfId="0" applyFont="1" applyAlignment="1">
      <alignment horizontal="center"/>
    </xf>
    <xf numFmtId="0" fontId="6" fillId="0" borderId="35" xfId="0" applyFont="1" applyBorder="1"/>
    <xf numFmtId="164" fontId="6" fillId="0" borderId="36" xfId="0" applyNumberFormat="1" applyFont="1" applyBorder="1"/>
    <xf numFmtId="164" fontId="6" fillId="0" borderId="38" xfId="0" applyNumberFormat="1" applyFont="1" applyBorder="1"/>
    <xf numFmtId="164" fontId="6" fillId="0" borderId="41" xfId="0" applyNumberFormat="1" applyFont="1" applyBorder="1"/>
    <xf numFmtId="0" fontId="6" fillId="0" borderId="41" xfId="0" applyFont="1" applyBorder="1"/>
    <xf numFmtId="164" fontId="4" fillId="0" borderId="40" xfId="0" applyNumberFormat="1" applyFont="1" applyBorder="1"/>
    <xf numFmtId="0" fontId="17" fillId="0" borderId="26" xfId="0" applyFont="1" applyBorder="1" applyAlignment="1">
      <alignment horizontal="left"/>
    </xf>
    <xf numFmtId="0" fontId="17" fillId="0" borderId="26" xfId="0" applyFont="1" applyBorder="1" applyAlignment="1">
      <alignment horizontal="left"/>
    </xf>
    <xf numFmtId="0" fontId="7" fillId="0" borderId="0" xfId="0" applyFont="1" applyAlignment="1">
      <alignment horizontal="center"/>
    </xf>
    <xf numFmtId="165" fontId="7" fillId="0" borderId="0" xfId="0" applyNumberFormat="1" applyFont="1"/>
    <xf numFmtId="165" fontId="7" fillId="0" borderId="0" xfId="0" applyNumberFormat="1" applyFont="1" applyAlignment="1">
      <alignment horizontal="center"/>
    </xf>
    <xf numFmtId="10" fontId="7" fillId="0" borderId="0" xfId="0" applyNumberFormat="1" applyFont="1"/>
    <xf numFmtId="0" fontId="20" fillId="3" borderId="2" xfId="3" applyFont="1" applyBorder="1" applyAlignment="1" applyProtection="1">
      <alignment horizontal="left"/>
    </xf>
    <xf numFmtId="0" fontId="20" fillId="3" borderId="4" xfId="3" applyFont="1" applyBorder="1" applyAlignment="1" applyProtection="1">
      <alignment horizontal="left"/>
    </xf>
    <xf numFmtId="44" fontId="5" fillId="5" borderId="45" xfId="0" applyNumberFormat="1" applyFont="1" applyFill="1" applyBorder="1" applyAlignment="1">
      <alignment vertical="center"/>
    </xf>
    <xf numFmtId="44" fontId="5" fillId="5" borderId="12" xfId="0" applyNumberFormat="1" applyFont="1" applyFill="1" applyBorder="1" applyAlignment="1">
      <alignment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right"/>
    </xf>
    <xf numFmtId="0" fontId="4" fillId="7" borderId="3" xfId="0" applyFont="1" applyFill="1" applyBorder="1" applyAlignment="1">
      <alignment horizontal="right"/>
    </xf>
    <xf numFmtId="0" fontId="4" fillId="7" borderId="17" xfId="0" applyFont="1" applyFill="1" applyBorder="1" applyAlignment="1">
      <alignment horizontal="right"/>
    </xf>
    <xf numFmtId="0" fontId="4" fillId="4" borderId="3" xfId="0" applyFont="1" applyFill="1" applyBorder="1" applyAlignment="1">
      <alignment horizontal="right" vertical="center"/>
    </xf>
    <xf numFmtId="0" fontId="4" fillId="4" borderId="17" xfId="0" applyFont="1" applyFill="1" applyBorder="1" applyAlignment="1">
      <alignment horizontal="right" vertical="center"/>
    </xf>
    <xf numFmtId="0" fontId="12" fillId="7" borderId="2" xfId="0" applyFont="1" applyFill="1" applyBorder="1" applyAlignment="1">
      <alignment horizontal="left" vertical="center"/>
    </xf>
    <xf numFmtId="0" fontId="12" fillId="7" borderId="3" xfId="0" applyFont="1" applyFill="1" applyBorder="1" applyAlignment="1">
      <alignment horizontal="left" vertical="center"/>
    </xf>
    <xf numFmtId="0" fontId="12" fillId="7" borderId="4" xfId="0" applyFont="1" applyFill="1" applyBorder="1" applyAlignment="1">
      <alignment horizontal="left" vertical="center"/>
    </xf>
  </cellXfs>
  <cellStyles count="4">
    <cellStyle name="Accent3" xfId="3" builtinId="37"/>
    <cellStyle name="Check Cell" xfId="2" builtinId="23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CC446-4C5A-4E82-AB21-358027C2F538}">
  <dimension ref="A1:F49"/>
  <sheetViews>
    <sheetView tabSelected="1" topLeftCell="A29" workbookViewId="0">
      <selection activeCell="J47" sqref="J47"/>
    </sheetView>
  </sheetViews>
  <sheetFormatPr defaultRowHeight="15" x14ac:dyDescent="0.25"/>
  <cols>
    <col min="1" max="1" width="48.7109375" bestFit="1" customWidth="1"/>
    <col min="2" max="2" width="23" bestFit="1" customWidth="1"/>
    <col min="4" max="4" width="28.5703125" bestFit="1" customWidth="1"/>
    <col min="5" max="5" width="6.42578125" bestFit="1" customWidth="1"/>
    <col min="6" max="6" width="17.85546875" customWidth="1"/>
  </cols>
  <sheetData>
    <row r="1" spans="1:6" ht="30" thickBot="1" x14ac:dyDescent="0.3">
      <c r="A1" s="353" t="s">
        <v>0</v>
      </c>
      <c r="B1" s="354"/>
      <c r="C1" s="354"/>
      <c r="D1" s="354"/>
      <c r="E1" s="354"/>
      <c r="F1" s="355"/>
    </row>
    <row r="2" spans="1:6" ht="18.75" customHeight="1" thickBot="1" x14ac:dyDescent="0.3">
      <c r="A2" s="359" t="s">
        <v>87</v>
      </c>
      <c r="B2" s="359"/>
      <c r="C2" s="359"/>
      <c r="D2" s="360"/>
      <c r="E2" s="351">
        <v>5500</v>
      </c>
      <c r="F2" s="352"/>
    </row>
    <row r="3" spans="1:6" ht="15.75" thickBot="1" x14ac:dyDescent="0.3">
      <c r="A3" s="93" t="s">
        <v>1</v>
      </c>
      <c r="B3" s="128" t="s">
        <v>2</v>
      </c>
      <c r="C3" s="128"/>
      <c r="D3" s="94" t="s">
        <v>3</v>
      </c>
      <c r="E3" s="128" t="s">
        <v>4</v>
      </c>
      <c r="F3" s="129"/>
    </row>
    <row r="4" spans="1:6" ht="17.25" x14ac:dyDescent="0.3">
      <c r="A4" s="4" t="s">
        <v>5</v>
      </c>
      <c r="B4" s="280">
        <v>57</v>
      </c>
      <c r="C4" s="280"/>
      <c r="D4" s="282" t="s">
        <v>78</v>
      </c>
      <c r="E4" s="130">
        <f>B4*$E$2</f>
        <v>313500</v>
      </c>
      <c r="F4" s="131"/>
    </row>
    <row r="5" spans="1:6" ht="18" thickBot="1" x14ac:dyDescent="0.35">
      <c r="A5" s="5" t="s">
        <v>6</v>
      </c>
      <c r="B5" s="281">
        <v>67</v>
      </c>
      <c r="C5" s="281"/>
      <c r="D5" s="11" t="s">
        <v>79</v>
      </c>
      <c r="E5" s="132">
        <f>B5*$E$2</f>
        <v>368500</v>
      </c>
      <c r="F5" s="133"/>
    </row>
    <row r="6" spans="1:6" ht="18.75" thickBot="1" x14ac:dyDescent="0.3">
      <c r="A6" s="6"/>
      <c r="B6" s="124" t="s">
        <v>7</v>
      </c>
      <c r="C6" s="125"/>
      <c r="D6" s="7" t="s">
        <v>8</v>
      </c>
      <c r="E6" s="126">
        <f>E4+E5</f>
        <v>682000</v>
      </c>
      <c r="F6" s="127"/>
    </row>
    <row r="7" spans="1:6" ht="15.75" thickBot="1" x14ac:dyDescent="0.3">
      <c r="A7" s="93" t="s">
        <v>9</v>
      </c>
      <c r="B7" s="128" t="s">
        <v>10</v>
      </c>
      <c r="C7" s="128"/>
      <c r="D7" s="63"/>
      <c r="E7" s="128" t="s">
        <v>11</v>
      </c>
      <c r="F7" s="129"/>
    </row>
    <row r="8" spans="1:6" ht="17.25" x14ac:dyDescent="0.3">
      <c r="A8" s="8" t="s">
        <v>5</v>
      </c>
      <c r="B8" s="139">
        <v>28</v>
      </c>
      <c r="C8" s="139"/>
      <c r="D8" s="10"/>
      <c r="E8" s="140">
        <f>E4*B8</f>
        <v>8778000</v>
      </c>
      <c r="F8" s="141"/>
    </row>
    <row r="9" spans="1:6" ht="18" thickBot="1" x14ac:dyDescent="0.35">
      <c r="A9" s="5" t="s">
        <v>12</v>
      </c>
      <c r="B9" s="142">
        <v>30</v>
      </c>
      <c r="C9" s="142"/>
      <c r="D9" s="12"/>
      <c r="E9" s="143">
        <f>E5*B9</f>
        <v>11055000</v>
      </c>
      <c r="F9" s="144"/>
    </row>
    <row r="10" spans="1:6" ht="18.75" thickBot="1" x14ac:dyDescent="0.3">
      <c r="A10" s="13"/>
      <c r="B10" s="145" t="str">
        <f>CONCATENATE(SUM(B8:B9)," UNITS")</f>
        <v>58 UNITS</v>
      </c>
      <c r="C10" s="146"/>
      <c r="D10" s="7" t="s">
        <v>8</v>
      </c>
      <c r="E10" s="126">
        <f>SUM(E8:F9)</f>
        <v>19833000</v>
      </c>
      <c r="F10" s="127"/>
    </row>
    <row r="11" spans="1:6" ht="15.75" thickBot="1" x14ac:dyDescent="0.3">
      <c r="A11" s="147" t="s">
        <v>13</v>
      </c>
      <c r="B11" s="148"/>
      <c r="C11" s="148"/>
      <c r="D11" s="148"/>
      <c r="E11" s="148"/>
      <c r="F11" s="149"/>
    </row>
    <row r="12" spans="1:6" ht="18" thickBot="1" x14ac:dyDescent="0.3">
      <c r="A12" s="96" t="s">
        <v>1</v>
      </c>
      <c r="B12" s="150" t="s">
        <v>9</v>
      </c>
      <c r="C12" s="151"/>
      <c r="D12" s="152"/>
      <c r="E12" s="153" t="s">
        <v>14</v>
      </c>
      <c r="F12" s="129"/>
    </row>
    <row r="13" spans="1:6" ht="18.75" thickBot="1" x14ac:dyDescent="0.3">
      <c r="A13" s="15">
        <v>68282.55</v>
      </c>
      <c r="B13" s="134">
        <f>E13-A13</f>
        <v>527807.87337734993</v>
      </c>
      <c r="C13" s="135"/>
      <c r="D13" s="136"/>
      <c r="E13" s="137">
        <f>'SACAP - Villas'!E40</f>
        <v>596090.42337734997</v>
      </c>
      <c r="F13" s="138"/>
    </row>
    <row r="14" spans="1:6" ht="18" thickBot="1" x14ac:dyDescent="0.3">
      <c r="A14" s="192" t="s">
        <v>15</v>
      </c>
      <c r="B14" s="193"/>
      <c r="C14" s="193"/>
      <c r="D14" s="193"/>
      <c r="E14" s="193"/>
      <c r="F14" s="194"/>
    </row>
    <row r="15" spans="1:6" ht="18" thickBot="1" x14ac:dyDescent="0.3">
      <c r="A15" s="14"/>
      <c r="B15" s="154" t="s">
        <v>1</v>
      </c>
      <c r="C15" s="155"/>
      <c r="D15" s="14" t="s">
        <v>9</v>
      </c>
      <c r="E15" s="154" t="s">
        <v>14</v>
      </c>
      <c r="F15" s="155"/>
    </row>
    <row r="16" spans="1:6" ht="17.25" x14ac:dyDescent="0.3">
      <c r="A16" s="8" t="s">
        <v>16</v>
      </c>
      <c r="B16" s="156">
        <f>A13*(0.1*(10/3)*2)</f>
        <v>45521.700000000004</v>
      </c>
      <c r="C16" s="141"/>
      <c r="D16" s="16">
        <f>B13*(0.1*(10/3)*2)</f>
        <v>351871.91558490001</v>
      </c>
      <c r="E16" s="157">
        <f>SUM(A16:D16)</f>
        <v>397393.61558490002</v>
      </c>
      <c r="F16" s="158"/>
    </row>
    <row r="17" spans="1:6" ht="18" thickBot="1" x14ac:dyDescent="0.35">
      <c r="A17" s="5" t="s">
        <v>17</v>
      </c>
      <c r="B17" s="159">
        <f>A13*(0.1*(10/3))</f>
        <v>22760.850000000002</v>
      </c>
      <c r="C17" s="144"/>
      <c r="D17" s="17">
        <f>B13*(0.1*(10/3))</f>
        <v>175935.95779245</v>
      </c>
      <c r="E17" s="160">
        <f>SUM(B17:D17)</f>
        <v>198696.80779245001</v>
      </c>
      <c r="F17" s="161"/>
    </row>
    <row r="18" spans="1:6" ht="30" customHeight="1" thickBot="1" x14ac:dyDescent="0.3">
      <c r="D18" s="18" t="s">
        <v>18</v>
      </c>
      <c r="E18" s="162">
        <f>SUM(E16:F17)</f>
        <v>596090.42337734997</v>
      </c>
      <c r="F18" s="163"/>
    </row>
    <row r="19" spans="1:6" ht="15.75" thickBot="1" x14ac:dyDescent="0.3">
      <c r="D19" s="6"/>
      <c r="E19" s="6"/>
      <c r="F19" s="6"/>
    </row>
    <row r="20" spans="1:6" ht="30" thickBot="1" x14ac:dyDescent="0.3">
      <c r="A20" s="361" t="s">
        <v>19</v>
      </c>
      <c r="B20" s="362"/>
      <c r="C20" s="362"/>
      <c r="D20" s="362"/>
      <c r="E20" s="362"/>
      <c r="F20" s="363"/>
    </row>
    <row r="21" spans="1:6" ht="18.75" thickBot="1" x14ac:dyDescent="0.3">
      <c r="A21" s="356" t="s">
        <v>87</v>
      </c>
      <c r="B21" s="357"/>
      <c r="C21" s="357"/>
      <c r="D21" s="358"/>
      <c r="E21" s="164">
        <v>5500</v>
      </c>
      <c r="F21" s="165"/>
    </row>
    <row r="22" spans="1:6" ht="15.75" thickBot="1" x14ac:dyDescent="0.3">
      <c r="A22" s="90" t="s">
        <v>1</v>
      </c>
      <c r="B22" s="166" t="s">
        <v>2</v>
      </c>
      <c r="C22" s="166"/>
      <c r="D22" s="91" t="s">
        <v>3</v>
      </c>
      <c r="E22" s="166" t="s">
        <v>4</v>
      </c>
      <c r="F22" s="167"/>
    </row>
    <row r="23" spans="1:6" ht="17.25" x14ac:dyDescent="0.3">
      <c r="A23" s="22" t="s">
        <v>5</v>
      </c>
      <c r="B23" s="168">
        <v>39</v>
      </c>
      <c r="C23" s="168"/>
      <c r="D23" s="23" t="s">
        <v>81</v>
      </c>
      <c r="E23" s="169">
        <f>B23*$E$21</f>
        <v>214500</v>
      </c>
      <c r="F23" s="170"/>
    </row>
    <row r="24" spans="1:6" ht="17.25" x14ac:dyDescent="0.3">
      <c r="A24" s="22" t="s">
        <v>12</v>
      </c>
      <c r="B24" s="171">
        <v>52</v>
      </c>
      <c r="C24" s="171"/>
      <c r="D24" s="23" t="s">
        <v>80</v>
      </c>
      <c r="E24" s="172">
        <f>B24*$E$21</f>
        <v>286000</v>
      </c>
      <c r="F24" s="173"/>
    </row>
    <row r="25" spans="1:6" ht="17.25" x14ac:dyDescent="0.3">
      <c r="A25" s="22" t="s">
        <v>20</v>
      </c>
      <c r="B25" s="171">
        <v>48</v>
      </c>
      <c r="C25" s="171"/>
      <c r="D25" s="23" t="s">
        <v>80</v>
      </c>
      <c r="E25" s="172">
        <f>B25*$E$21</f>
        <v>264000</v>
      </c>
      <c r="F25" s="173"/>
    </row>
    <row r="26" spans="1:6" ht="17.25" x14ac:dyDescent="0.3">
      <c r="A26" s="22" t="s">
        <v>21</v>
      </c>
      <c r="B26" s="171">
        <v>62</v>
      </c>
      <c r="C26" s="171"/>
      <c r="D26" s="23" t="s">
        <v>80</v>
      </c>
      <c r="E26" s="172">
        <f>B26*$E$21</f>
        <v>341000</v>
      </c>
      <c r="F26" s="173"/>
    </row>
    <row r="27" spans="1:6" ht="18" thickBot="1" x14ac:dyDescent="0.35">
      <c r="A27" s="24" t="s">
        <v>22</v>
      </c>
      <c r="B27" s="174">
        <v>49</v>
      </c>
      <c r="C27" s="174"/>
      <c r="D27" s="25" t="s">
        <v>80</v>
      </c>
      <c r="E27" s="175">
        <f>B27*$E$21</f>
        <v>269500</v>
      </c>
      <c r="F27" s="176"/>
    </row>
    <row r="28" spans="1:6" ht="18.75" thickBot="1" x14ac:dyDescent="0.35">
      <c r="A28" s="1"/>
      <c r="B28" s="177" t="s">
        <v>7</v>
      </c>
      <c r="C28" s="178"/>
      <c r="D28" s="26" t="s">
        <v>8</v>
      </c>
      <c r="E28" s="164">
        <f>SUM(E23:E27)</f>
        <v>1375000</v>
      </c>
      <c r="F28" s="165"/>
    </row>
    <row r="29" spans="1:6" ht="15.75" thickBot="1" x14ac:dyDescent="0.3">
      <c r="A29" s="90" t="s">
        <v>9</v>
      </c>
      <c r="B29" s="166" t="s">
        <v>10</v>
      </c>
      <c r="C29" s="166"/>
      <c r="D29" s="92"/>
      <c r="E29" s="166" t="s">
        <v>11</v>
      </c>
      <c r="F29" s="167"/>
    </row>
    <row r="30" spans="1:6" ht="17.25" x14ac:dyDescent="0.3">
      <c r="A30" s="22" t="s">
        <v>5</v>
      </c>
      <c r="B30" s="179">
        <v>37</v>
      </c>
      <c r="C30" s="179"/>
      <c r="D30" s="27"/>
      <c r="E30" s="180">
        <f>E23*B30</f>
        <v>7936500</v>
      </c>
      <c r="F30" s="181"/>
    </row>
    <row r="31" spans="1:6" ht="17.25" x14ac:dyDescent="0.3">
      <c r="A31" s="22" t="s">
        <v>12</v>
      </c>
      <c r="B31" s="182">
        <v>28</v>
      </c>
      <c r="C31" s="182"/>
      <c r="D31" s="27"/>
      <c r="E31" s="183">
        <f>E24*B31</f>
        <v>8008000</v>
      </c>
      <c r="F31" s="184"/>
    </row>
    <row r="32" spans="1:6" ht="17.25" x14ac:dyDescent="0.3">
      <c r="A32" s="22" t="s">
        <v>20</v>
      </c>
      <c r="B32" s="182">
        <v>28</v>
      </c>
      <c r="C32" s="182"/>
      <c r="D32" s="27"/>
      <c r="E32" s="183">
        <f>E25*B32</f>
        <v>7392000</v>
      </c>
      <c r="F32" s="184"/>
    </row>
    <row r="33" spans="1:6" ht="17.25" x14ac:dyDescent="0.3">
      <c r="A33" s="22" t="s">
        <v>21</v>
      </c>
      <c r="B33" s="182">
        <v>21</v>
      </c>
      <c r="C33" s="182"/>
      <c r="D33" s="27"/>
      <c r="E33" s="183">
        <f>E26*B33</f>
        <v>7161000</v>
      </c>
      <c r="F33" s="184"/>
    </row>
    <row r="34" spans="1:6" ht="18" thickBot="1" x14ac:dyDescent="0.35">
      <c r="A34" s="24" t="s">
        <v>22</v>
      </c>
      <c r="B34" s="187">
        <v>21</v>
      </c>
      <c r="C34" s="187"/>
      <c r="D34" s="28"/>
      <c r="E34" s="188">
        <f>E27*B34</f>
        <v>5659500</v>
      </c>
      <c r="F34" s="189"/>
    </row>
    <row r="35" spans="1:6" ht="18.75" thickBot="1" x14ac:dyDescent="0.3">
      <c r="A35" s="13"/>
      <c r="B35" s="190" t="str">
        <f>CONCATENATE(SUM(B30:B34)," UNITS")</f>
        <v>135 UNITS</v>
      </c>
      <c r="C35" s="191"/>
      <c r="D35" s="26" t="s">
        <v>8</v>
      </c>
      <c r="E35" s="164">
        <f>SUM(E30:F34)</f>
        <v>36157000</v>
      </c>
      <c r="F35" s="165"/>
    </row>
    <row r="36" spans="1:6" ht="15.75" thickBot="1" x14ac:dyDescent="0.3">
      <c r="A36" s="196" t="s">
        <v>13</v>
      </c>
      <c r="B36" s="197"/>
      <c r="C36" s="197"/>
      <c r="D36" s="197"/>
      <c r="E36" s="197"/>
      <c r="F36" s="198"/>
    </row>
    <row r="37" spans="1:6" ht="15.75" thickBot="1" x14ac:dyDescent="0.3">
      <c r="A37" s="95" t="s">
        <v>1</v>
      </c>
      <c r="B37" s="205" t="s">
        <v>9</v>
      </c>
      <c r="C37" s="166"/>
      <c r="D37" s="167"/>
      <c r="E37" s="205" t="s">
        <v>14</v>
      </c>
      <c r="F37" s="167"/>
    </row>
    <row r="38" spans="1:6" ht="18.75" thickBot="1" x14ac:dyDescent="0.3">
      <c r="A38" s="29">
        <v>114893.73</v>
      </c>
      <c r="B38" s="206">
        <f>E38-A38</f>
        <v>913887.32097735</v>
      </c>
      <c r="C38" s="207"/>
      <c r="D38" s="208"/>
      <c r="E38" s="209">
        <f>'SACAP - Court'!E40</f>
        <v>1028781.05097735</v>
      </c>
      <c r="F38" s="210"/>
    </row>
    <row r="39" spans="1:6" ht="15.75" thickBot="1" x14ac:dyDescent="0.3">
      <c r="A39" s="196" t="s">
        <v>15</v>
      </c>
      <c r="B39" s="197"/>
      <c r="C39" s="197"/>
      <c r="D39" s="197"/>
      <c r="E39" s="197"/>
      <c r="F39" s="198"/>
    </row>
    <row r="40" spans="1:6" ht="18" thickBot="1" x14ac:dyDescent="0.3">
      <c r="A40" s="27"/>
      <c r="B40" s="185" t="s">
        <v>1</v>
      </c>
      <c r="C40" s="186"/>
      <c r="D40" s="30" t="s">
        <v>9</v>
      </c>
      <c r="E40" s="185" t="s">
        <v>14</v>
      </c>
      <c r="F40" s="186"/>
    </row>
    <row r="41" spans="1:6" ht="17.25" x14ac:dyDescent="0.3">
      <c r="A41" s="31" t="s">
        <v>16</v>
      </c>
      <c r="B41" s="199">
        <f>A38*(0.1*(10/3)*2)</f>
        <v>76595.820000000007</v>
      </c>
      <c r="C41" s="181"/>
      <c r="D41" s="32">
        <f>B38*(0.1*(10/3)*2)</f>
        <v>609258.21398490004</v>
      </c>
      <c r="E41" s="200">
        <f>SUM(B41:D41)</f>
        <v>685854.03398489999</v>
      </c>
      <c r="F41" s="201"/>
    </row>
    <row r="42" spans="1:6" ht="18" thickBot="1" x14ac:dyDescent="0.35">
      <c r="A42" s="24" t="s">
        <v>17</v>
      </c>
      <c r="B42" s="202">
        <f>A38*(0.1*(10/3))</f>
        <v>38297.910000000003</v>
      </c>
      <c r="C42" s="189"/>
      <c r="D42" s="33">
        <f>B38*(0.1*(10/3))</f>
        <v>304629.10699245002</v>
      </c>
      <c r="E42" s="203">
        <f>SUM(B42:D42)</f>
        <v>342927.01699244999</v>
      </c>
      <c r="F42" s="204"/>
    </row>
    <row r="43" spans="1:6" ht="30" customHeight="1" thickBot="1" x14ac:dyDescent="0.3">
      <c r="D43" s="18" t="s">
        <v>18</v>
      </c>
      <c r="E43" s="162">
        <f>SUM(E41:F42)</f>
        <v>1028781.05097735</v>
      </c>
      <c r="F43" s="163"/>
    </row>
    <row r="44" spans="1:6" ht="15.75" customHeight="1" x14ac:dyDescent="0.25"/>
    <row r="45" spans="1:6" ht="15.75" thickBot="1" x14ac:dyDescent="0.3"/>
    <row r="46" spans="1:6" ht="30" customHeight="1" thickBot="1" x14ac:dyDescent="0.3">
      <c r="A46" s="2" t="s">
        <v>23</v>
      </c>
      <c r="B46" s="195"/>
      <c r="C46" s="195"/>
      <c r="D46" s="3" t="s">
        <v>24</v>
      </c>
      <c r="E46" s="162">
        <f>E18</f>
        <v>596090.42337734997</v>
      </c>
      <c r="F46" s="163"/>
    </row>
    <row r="47" spans="1:6" ht="30" customHeight="1" thickBot="1" x14ac:dyDescent="0.3">
      <c r="A47" s="19" t="s">
        <v>25</v>
      </c>
      <c r="B47" s="34"/>
      <c r="C47" s="20"/>
      <c r="D47" s="21" t="s">
        <v>24</v>
      </c>
      <c r="E47" s="162">
        <f>E43</f>
        <v>1028781.05097735</v>
      </c>
      <c r="F47" s="163"/>
    </row>
    <row r="48" spans="1:6" ht="15.75" thickBot="1" x14ac:dyDescent="0.3"/>
    <row r="49" spans="1:6" ht="30" customHeight="1" thickBot="1" x14ac:dyDescent="0.3">
      <c r="A49" s="35" t="s">
        <v>26</v>
      </c>
      <c r="B49" s="36"/>
      <c r="C49" s="37"/>
      <c r="D49" s="38" t="s">
        <v>24</v>
      </c>
      <c r="E49" s="162">
        <f>SUM(E46:F47)</f>
        <v>1624871.4743547</v>
      </c>
      <c r="F49" s="163"/>
    </row>
  </sheetData>
  <mergeCells count="80">
    <mergeCell ref="A1:F1"/>
    <mergeCell ref="A20:F20"/>
    <mergeCell ref="A21:D21"/>
    <mergeCell ref="A2:D2"/>
    <mergeCell ref="A14:F14"/>
    <mergeCell ref="B46:C46"/>
    <mergeCell ref="E46:F46"/>
    <mergeCell ref="E47:F47"/>
    <mergeCell ref="E49:F49"/>
    <mergeCell ref="A39:F39"/>
    <mergeCell ref="B41:C41"/>
    <mergeCell ref="E41:F41"/>
    <mergeCell ref="B42:C42"/>
    <mergeCell ref="E42:F42"/>
    <mergeCell ref="E43:F43"/>
    <mergeCell ref="A36:F36"/>
    <mergeCell ref="B37:D37"/>
    <mergeCell ref="E37:F37"/>
    <mergeCell ref="B38:D38"/>
    <mergeCell ref="E38:F38"/>
    <mergeCell ref="B40:C40"/>
    <mergeCell ref="E40:F40"/>
    <mergeCell ref="B33:C33"/>
    <mergeCell ref="E33:F33"/>
    <mergeCell ref="B34:C34"/>
    <mergeCell ref="E34:F34"/>
    <mergeCell ref="B35:C35"/>
    <mergeCell ref="E35:F35"/>
    <mergeCell ref="B30:C30"/>
    <mergeCell ref="E30:F30"/>
    <mergeCell ref="B31:C31"/>
    <mergeCell ref="E31:F31"/>
    <mergeCell ref="B32:C32"/>
    <mergeCell ref="E32:F32"/>
    <mergeCell ref="B27:C27"/>
    <mergeCell ref="E27:F27"/>
    <mergeCell ref="B28:C28"/>
    <mergeCell ref="E28:F28"/>
    <mergeCell ref="B29:C29"/>
    <mergeCell ref="E29:F29"/>
    <mergeCell ref="B24:C24"/>
    <mergeCell ref="E24:F24"/>
    <mergeCell ref="B25:C25"/>
    <mergeCell ref="E25:F25"/>
    <mergeCell ref="B26:C26"/>
    <mergeCell ref="E26:F26"/>
    <mergeCell ref="E18:F18"/>
    <mergeCell ref="E21:F21"/>
    <mergeCell ref="B22:C22"/>
    <mergeCell ref="E22:F22"/>
    <mergeCell ref="B23:C23"/>
    <mergeCell ref="E23:F23"/>
    <mergeCell ref="B15:C15"/>
    <mergeCell ref="E15:F15"/>
    <mergeCell ref="B16:C16"/>
    <mergeCell ref="E16:F16"/>
    <mergeCell ref="B17:C17"/>
    <mergeCell ref="E17:F17"/>
    <mergeCell ref="B13:D13"/>
    <mergeCell ref="E13:F13"/>
    <mergeCell ref="B7:C7"/>
    <mergeCell ref="E7:F7"/>
    <mergeCell ref="B8:C8"/>
    <mergeCell ref="E8:F8"/>
    <mergeCell ref="B9:C9"/>
    <mergeCell ref="E9:F9"/>
    <mergeCell ref="B10:C10"/>
    <mergeCell ref="E10:F10"/>
    <mergeCell ref="A11:F11"/>
    <mergeCell ref="B12:D12"/>
    <mergeCell ref="E12:F12"/>
    <mergeCell ref="B6:C6"/>
    <mergeCell ref="E6:F6"/>
    <mergeCell ref="E2:F2"/>
    <mergeCell ref="B3:C3"/>
    <mergeCell ref="E3:F3"/>
    <mergeCell ref="E4:F4"/>
    <mergeCell ref="E5:F5"/>
    <mergeCell ref="B4:C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9AD64-452A-4303-82A7-C92DFC375381}">
  <dimension ref="A1:G40"/>
  <sheetViews>
    <sheetView workbookViewId="0"/>
  </sheetViews>
  <sheetFormatPr defaultRowHeight="15" x14ac:dyDescent="0.25"/>
  <cols>
    <col min="1" max="1" width="26.5703125" customWidth="1"/>
    <col min="2" max="2" width="30.28515625" customWidth="1"/>
    <col min="3" max="3" width="21.85546875" customWidth="1"/>
    <col min="4" max="4" width="19" customWidth="1"/>
    <col min="5" max="5" width="16.85546875" customWidth="1"/>
    <col min="6" max="6" width="26" customWidth="1"/>
    <col min="7" max="7" width="10"/>
    <col min="8" max="8" width="24.42578125" customWidth="1"/>
    <col min="9" max="9" width="23.140625" customWidth="1"/>
    <col min="10" max="10" width="28.5703125" bestFit="1" customWidth="1"/>
    <col min="11" max="11" width="17" customWidth="1"/>
    <col min="12" max="12" width="18.7109375" customWidth="1"/>
    <col min="13" max="13" width="22.28515625" customWidth="1"/>
  </cols>
  <sheetData>
    <row r="1" spans="1:7" ht="29.25" x14ac:dyDescent="0.3">
      <c r="A1" s="39" t="s">
        <v>36</v>
      </c>
      <c r="B1" s="6"/>
      <c r="C1" s="6"/>
      <c r="D1" s="6"/>
      <c r="E1" s="6"/>
      <c r="F1" s="6"/>
      <c r="G1" s="40"/>
    </row>
    <row r="2" spans="1:7" ht="18" thickBot="1" x14ac:dyDescent="0.35">
      <c r="A2" s="6"/>
      <c r="B2" s="6"/>
      <c r="C2" s="6"/>
      <c r="D2" s="6"/>
      <c r="E2" s="6"/>
      <c r="F2" s="6"/>
      <c r="G2" s="40"/>
    </row>
    <row r="3" spans="1:7" ht="19.5" thickBot="1" x14ac:dyDescent="0.35">
      <c r="A3" s="41" t="s">
        <v>54</v>
      </c>
      <c r="B3" s="49"/>
      <c r="G3" s="40"/>
    </row>
    <row r="4" spans="1:7" ht="18" thickBot="1" x14ac:dyDescent="0.35">
      <c r="A4" s="42" t="s">
        <v>38</v>
      </c>
      <c r="B4" s="50"/>
      <c r="C4" s="44"/>
      <c r="D4" s="43"/>
      <c r="E4" s="224" t="s">
        <v>51</v>
      </c>
      <c r="F4" s="225"/>
      <c r="G4" s="40"/>
    </row>
    <row r="5" spans="1:7" ht="18" thickBot="1" x14ac:dyDescent="0.35">
      <c r="A5" s="57" t="s">
        <v>39</v>
      </c>
      <c r="B5" s="58"/>
      <c r="C5" s="59"/>
      <c r="D5" s="59"/>
      <c r="E5" s="226">
        <f>'Client Fees'!E6</f>
        <v>682000</v>
      </c>
      <c r="F5" s="227"/>
      <c r="G5" s="40"/>
    </row>
    <row r="6" spans="1:7" ht="19.5" thickBot="1" x14ac:dyDescent="0.35">
      <c r="A6" s="220" t="s">
        <v>40</v>
      </c>
      <c r="B6" s="221"/>
      <c r="C6" s="218" t="s">
        <v>53</v>
      </c>
      <c r="D6" s="219"/>
      <c r="E6" s="216">
        <f>SUM(E5:E5)</f>
        <v>682000</v>
      </c>
      <c r="F6" s="217"/>
      <c r="G6" s="40"/>
    </row>
    <row r="7" spans="1:7" ht="18" thickBot="1" x14ac:dyDescent="0.35">
      <c r="C7" s="211"/>
      <c r="D7" s="211"/>
      <c r="E7" s="211"/>
      <c r="F7" s="211"/>
      <c r="G7" s="40"/>
    </row>
    <row r="8" spans="1:7" ht="19.5" thickBot="1" x14ac:dyDescent="0.35">
      <c r="A8" s="45" t="s">
        <v>41</v>
      </c>
      <c r="B8" s="46"/>
      <c r="C8" s="60"/>
      <c r="D8" s="60"/>
      <c r="E8" s="220" t="s">
        <v>49</v>
      </c>
      <c r="F8" s="221"/>
      <c r="G8" s="40"/>
    </row>
    <row r="9" spans="1:7" ht="17.25" x14ac:dyDescent="0.3">
      <c r="A9" s="53" t="s">
        <v>42</v>
      </c>
      <c r="B9" s="54"/>
      <c r="C9" s="61"/>
      <c r="D9" s="61"/>
      <c r="E9" s="278">
        <f>IF(E8="Medium",IF(E6&gt;Data!$C$39,IF(E6&gt;Data!$C$40,IF(E6&gt;Data!$C$41,IF(E6&gt;Data!$C$42,IF(E6&gt;Data!$C$43,IF(E6&gt;Data!$C$44,IF(E6&gt;Data!$C$45,IF(E6&gt;Data!$C$46,IF(E6&gt;Data!$C$47,IF(E6&gt;Data!$C$48,IF(E6&gt;Data!$C$49,Data!$D$50,Data!$D$49),Data!$D$48),Data!$D$47),Data!$D$46),Data!$D$45),Data!$D$44),Data!$D$43),Data!$D$42),Data!$D$41),Data!$D$40),Data!$D$39),IF(E8="High",(IF(E6&gt;Data!$C$20,IF(E6&gt;Data!$C$21,IF(E6&gt;Data!$C$22,IF(E6&gt;Data!$C$23,IF(E6&gt;Data!$C$24,IF(E6&gt;Data!$C$25,IF(E6&gt;Data!$C$26,IF(E6&gt;Data!$C$27,IF(E6&gt;Data!$C$28,IF(E6&gt;Data!$C$29,IF(E6&gt;Data!$C$30,Data!$D$31,Data!$D$30),Data!$D$28),Data!E20),Data!$D$26),Data!$D$25),Data!$D$24),Data!$D$43),Data!$D$23),Data!$D$22),Data!$D$21),Data!$D$20)),IF(E8="Low",(IF(E6&gt;Data!$C$58,IF(E6&gt;Data!$C$59,IF(E6&gt;Data!$C$60,IF(E6&gt;Data!$C$61,IF(E6&gt;Data!$C$62,IF(E6&gt;Data!$C$63,IF(E6&gt;Data!$C$64,IF(E6&gt;Data!$C$65,IF(E6&gt;Data!$C$66,IF(E6&gt;Data!$C$67,IF(E6&gt;Data!$C$68,Data!$D$69,Data!$D$68),Data!$D$67),Data!$D$66),Data!$D$65),Data!$D$64),Data!$D$63),Data!$D$62),Data!$D$61),Data!$D$60),Data!$D$59),Data!$D$58)))))</f>
        <v>110217.17</v>
      </c>
      <c r="F9" s="279"/>
      <c r="G9" s="40"/>
    </row>
    <row r="10" spans="1:7" ht="18" thickBot="1" x14ac:dyDescent="0.35">
      <c r="A10" s="55" t="s">
        <v>43</v>
      </c>
      <c r="B10" s="56"/>
      <c r="C10" s="62"/>
      <c r="D10" s="62"/>
      <c r="E10" s="283">
        <f>IF(E8="Medium",(E6-(VLOOKUP(E9,Data!$D$39:$F$50,3,FALSE)))*(VLOOKUP(E9,Data!$D$39:$F$50,2,FALSE)),IF(E8="High",(E6-(VLOOKUP(E9,Data!$D$20:$F$31,3,FALSE)))*(VLOOKUP(E9,Data!$D$20:$F$31,2,FALSE)),IF(E8="Low",(E6-(VLOOKUP(E9,Data!$D$58:$F$69,3,FALSE)))*(VLOOKUP(E9,Data!$D$58:$F$69,2,FALSE)))))</f>
        <v>3587.0879</v>
      </c>
      <c r="F10" s="161"/>
      <c r="G10" s="40"/>
    </row>
    <row r="11" spans="1:7" ht="18.75" thickBot="1" x14ac:dyDescent="0.3">
      <c r="A11" s="47" t="s">
        <v>44</v>
      </c>
      <c r="B11" s="230"/>
      <c r="C11" s="230"/>
      <c r="D11" s="155"/>
      <c r="E11" s="228">
        <f>SUM(C9:F10)</f>
        <v>113804.2579</v>
      </c>
      <c r="F11" s="229"/>
      <c r="G11" s="6"/>
    </row>
    <row r="12" spans="1:7" ht="19.5" thickBot="1" x14ac:dyDescent="0.35">
      <c r="A12" s="48" t="s">
        <v>45</v>
      </c>
      <c r="B12" s="51"/>
      <c r="C12" s="212" t="s">
        <v>50</v>
      </c>
      <c r="D12" s="213"/>
      <c r="E12" s="212" t="s">
        <v>52</v>
      </c>
      <c r="F12" s="213"/>
      <c r="G12" s="6"/>
    </row>
    <row r="13" spans="1:7" ht="17.25" x14ac:dyDescent="0.3">
      <c r="A13" s="8" t="s">
        <v>29</v>
      </c>
      <c r="B13" s="9" t="s">
        <v>47</v>
      </c>
      <c r="C13" s="214">
        <v>0.4</v>
      </c>
      <c r="D13" s="214"/>
      <c r="E13" s="231">
        <f>E11*C13</f>
        <v>45521.703160000005</v>
      </c>
      <c r="F13" s="158"/>
      <c r="G13" s="6"/>
    </row>
    <row r="14" spans="1:7" ht="18" thickBot="1" x14ac:dyDescent="0.35">
      <c r="A14" s="5" t="s">
        <v>46</v>
      </c>
      <c r="B14" s="11" t="s">
        <v>48</v>
      </c>
      <c r="C14" s="215">
        <v>0.2</v>
      </c>
      <c r="D14" s="215"/>
      <c r="E14" s="232">
        <f>E11*C14</f>
        <v>22760.851580000002</v>
      </c>
      <c r="F14" s="161"/>
      <c r="G14" s="6"/>
    </row>
    <row r="15" spans="1:7" ht="20.25" customHeight="1" thickBot="1" x14ac:dyDescent="0.3">
      <c r="A15" s="6"/>
      <c r="B15" s="6"/>
      <c r="C15" s="218" t="s">
        <v>53</v>
      </c>
      <c r="D15" s="219"/>
      <c r="E15" s="216">
        <f>SUM(E13:F14)</f>
        <v>68282.554740000007</v>
      </c>
      <c r="F15" s="217"/>
      <c r="G15" s="6"/>
    </row>
    <row r="17" spans="1:6" ht="29.25" x14ac:dyDescent="0.25">
      <c r="A17" s="39" t="s">
        <v>9</v>
      </c>
      <c r="B17" s="6"/>
      <c r="C17" s="6"/>
      <c r="D17" s="6"/>
      <c r="E17" s="6"/>
      <c r="F17" s="6"/>
    </row>
    <row r="18" spans="1:6" ht="15.75" thickBot="1" x14ac:dyDescent="0.3">
      <c r="A18" s="6"/>
      <c r="B18" s="6"/>
      <c r="C18" s="6"/>
      <c r="D18" s="6"/>
      <c r="E18" s="6"/>
      <c r="F18" s="6"/>
    </row>
    <row r="19" spans="1:6" ht="19.5" thickBot="1" x14ac:dyDescent="0.35">
      <c r="A19" s="64" t="s">
        <v>37</v>
      </c>
      <c r="B19" s="65"/>
      <c r="C19" s="40"/>
      <c r="D19" s="40"/>
      <c r="E19" s="40"/>
      <c r="F19" s="40"/>
    </row>
    <row r="20" spans="1:6" ht="18" thickBot="1" x14ac:dyDescent="0.35">
      <c r="A20" s="66" t="s">
        <v>38</v>
      </c>
      <c r="B20" s="67"/>
      <c r="C20" s="70"/>
      <c r="D20" s="67"/>
      <c r="E20" s="239" t="s">
        <v>51</v>
      </c>
      <c r="F20" s="240"/>
    </row>
    <row r="21" spans="1:6" ht="18" thickBot="1" x14ac:dyDescent="0.35">
      <c r="A21" s="68" t="s">
        <v>39</v>
      </c>
      <c r="B21" s="69"/>
      <c r="C21" s="71"/>
      <c r="D21" s="71"/>
      <c r="E21" s="241">
        <f>'Client Fees'!E10</f>
        <v>19833000</v>
      </c>
      <c r="F21" s="242"/>
    </row>
    <row r="22" spans="1:6" ht="18.75" thickBot="1" x14ac:dyDescent="0.3">
      <c r="A22" s="235" t="s">
        <v>40</v>
      </c>
      <c r="B22" s="236"/>
      <c r="C22" s="237" t="s">
        <v>53</v>
      </c>
      <c r="D22" s="238"/>
      <c r="E22" s="243">
        <f>SUM(E21:F21)</f>
        <v>19833000</v>
      </c>
      <c r="F22" s="244"/>
    </row>
    <row r="23" spans="1:6" ht="15.75" thickBot="1" x14ac:dyDescent="0.3">
      <c r="C23" s="211"/>
      <c r="D23" s="211"/>
      <c r="E23" s="211"/>
      <c r="F23" s="211"/>
    </row>
    <row r="24" spans="1:6" ht="19.5" thickBot="1" x14ac:dyDescent="0.35">
      <c r="A24" s="72" t="s">
        <v>41</v>
      </c>
      <c r="B24" s="73"/>
      <c r="C24" s="74"/>
      <c r="D24" s="74"/>
      <c r="E24" s="235" t="s">
        <v>49</v>
      </c>
      <c r="F24" s="236"/>
    </row>
    <row r="25" spans="1:6" ht="17.25" x14ac:dyDescent="0.25">
      <c r="A25" s="75" t="s">
        <v>42</v>
      </c>
      <c r="B25" s="76"/>
      <c r="C25" s="77"/>
      <c r="D25" s="77"/>
      <c r="E25" s="249">
        <f>IF(E24="Medium",IF(E22&gt;Data!$C$39,IF(E22&gt;Data!$C$40,IF(E22&gt;Data!$C$41,IF(E22&gt;Data!$C$42,IF(E22&gt;Data!$C$43,IF(E22&gt;Data!$C$44,IF(E22&gt;Data!$C$45,IF(E22&gt;Data!$C$46,IF(E22&gt;Data!$C$47,IF(E22&gt;Data!$C$48,IF(E22&gt;Data!$C$49,Data!$D$50,Data!$D$49),Data!$D$48),Data!$D$47),Data!$D$46),Data!$D$45),Data!$D$44),Data!$D$43),Data!$D$42),Data!$D$41),Data!$D$40),Data!$D$39),IF(E24="High",(IF(E22&gt;Data!$C$20,IF(E22&gt;Data!$C$21,IF(E22&gt;Data!$C$22,IF(E22&gt;Data!$C$23,IF(E22&gt;Data!$C$24,IF(E22&gt;Data!$C$25,IF(E22&gt;Data!$C$26,IF(E22&gt;Data!$C$27,IF(E22&gt;Data!$C$28,IF(E22&gt;Data!$C$29,IF(E22&gt;Data!$C$30,Data!$D$31,Data!$D$30),Data!$D$28),Data!E36),Data!$D$26),Data!$D$25),Data!$D$24),Data!$D$43),Data!$D$23),Data!$D$22),Data!$D$21),Data!$D$20)),IF(E24="Low",(IF(E22&gt;Data!$C$58,IF(E22&gt;Data!$C$59,IF(E22&gt;Data!$C$60,IF(E22&gt;Data!$C$61,IF(E22&gt;Data!$C$62,IF(E22&gt;Data!$C$63,IF(E22&gt;Data!$C$64,IF(E22&gt;Data!$C$65,IF(E22&gt;Data!$C$66,IF(E22&gt;Data!$C$67,IF(E22&gt;Data!$C$68,Data!$D$69,Data!$D$68),Data!$D$67),Data!$D$66),Data!$D$65),Data!$D$64),Data!$D$63),Data!$D$62),Data!$D$61),Data!$D$60),Data!$D$59),Data!$D$58)))))</f>
        <v>1231500.08</v>
      </c>
      <c r="F25" s="250"/>
    </row>
    <row r="26" spans="1:6" ht="18" thickBot="1" x14ac:dyDescent="0.3">
      <c r="A26" s="78" t="s">
        <v>43</v>
      </c>
      <c r="B26" s="79"/>
      <c r="C26" s="80"/>
      <c r="D26" s="80"/>
      <c r="E26" s="251">
        <f>IF(E24="Medium",(E22-(VLOOKUP(E25,Data!$D$39:$F$50,3,FALSE)))*(VLOOKUP(E25,Data!$D$39:$F$50,2,FALSE)),IF(E24="High",(E22-(VLOOKUP(E25,Data!$D$20:$F$31,3,FALSE)))*(VLOOKUP(E25,Data!$D$20:$F$31,2,FALSE)),IF(E24="Low",(E22-(VLOOKUP(E25,Data!$D$58:$F$69,3,FALSE)))*(VLOOKUP(E25,Data!$D$58:$F$69,2,FALSE)))))</f>
        <v>545956.62009999994</v>
      </c>
      <c r="F26" s="252"/>
    </row>
    <row r="27" spans="1:6" ht="18.75" thickBot="1" x14ac:dyDescent="0.3">
      <c r="A27" s="81" t="s">
        <v>44</v>
      </c>
      <c r="B27" s="255"/>
      <c r="C27" s="255"/>
      <c r="D27" s="256"/>
      <c r="E27" s="253">
        <f>SUM(D25:F26)</f>
        <v>1777456.7001</v>
      </c>
      <c r="F27" s="254"/>
    </row>
    <row r="28" spans="1:6" ht="19.5" thickBot="1" x14ac:dyDescent="0.35">
      <c r="A28" s="222" t="s">
        <v>45</v>
      </c>
      <c r="B28" s="223"/>
      <c r="C28" s="233" t="s">
        <v>50</v>
      </c>
      <c r="D28" s="234"/>
      <c r="E28" s="233" t="s">
        <v>52</v>
      </c>
      <c r="F28" s="234"/>
    </row>
    <row r="29" spans="1:6" ht="17.25" x14ac:dyDescent="0.3">
      <c r="A29" s="82" t="s">
        <v>29</v>
      </c>
      <c r="B29" s="83" t="s">
        <v>47</v>
      </c>
      <c r="C29" s="247">
        <v>0.4</v>
      </c>
      <c r="D29" s="247"/>
      <c r="E29" s="245">
        <f>E27*C29</f>
        <v>710982.68004000001</v>
      </c>
      <c r="F29" s="246"/>
    </row>
    <row r="30" spans="1:6" ht="18" thickBot="1" x14ac:dyDescent="0.35">
      <c r="A30" s="84" t="s">
        <v>46</v>
      </c>
      <c r="B30" s="85" t="s">
        <v>48</v>
      </c>
      <c r="C30" s="248">
        <v>0.2</v>
      </c>
      <c r="D30" s="248"/>
      <c r="E30" s="241">
        <f>E27*C30</f>
        <v>355491.34002</v>
      </c>
      <c r="F30" s="242"/>
    </row>
    <row r="31" spans="1:6" ht="18.75" thickBot="1" x14ac:dyDescent="0.3">
      <c r="A31" s="6"/>
      <c r="B31" s="6"/>
      <c r="C31" s="237" t="s">
        <v>53</v>
      </c>
      <c r="D31" s="238"/>
      <c r="E31" s="216">
        <f>SUM(E29:F30)</f>
        <v>1066474.02006</v>
      </c>
      <c r="F31" s="217"/>
    </row>
    <row r="32" spans="1:6" ht="15.75" thickBot="1" x14ac:dyDescent="0.3"/>
    <row r="33" spans="1:6" ht="18.75" thickBot="1" x14ac:dyDescent="0.3">
      <c r="C33" s="237" t="s">
        <v>55</v>
      </c>
      <c r="D33" s="238"/>
      <c r="E33" s="216">
        <f>SUM(E31:F32)*0.35</f>
        <v>373265.90702099999</v>
      </c>
      <c r="F33" s="217"/>
    </row>
    <row r="35" spans="1:6" ht="29.25" x14ac:dyDescent="0.25">
      <c r="A35" s="39" t="s">
        <v>56</v>
      </c>
    </row>
    <row r="36" spans="1:6" ht="15.75" thickBot="1" x14ac:dyDescent="0.3"/>
    <row r="37" spans="1:6" ht="18.75" thickBot="1" x14ac:dyDescent="0.3">
      <c r="A37" s="86" t="s">
        <v>59</v>
      </c>
      <c r="B37" s="87"/>
      <c r="C37" s="87"/>
      <c r="D37" s="123" t="s">
        <v>63</v>
      </c>
      <c r="E37" s="257">
        <f>(E15+E33)</f>
        <v>441548.46176099998</v>
      </c>
      <c r="F37" s="258"/>
    </row>
    <row r="38" spans="1:6" ht="18.75" thickBot="1" x14ac:dyDescent="0.3">
      <c r="A38" s="86" t="s">
        <v>57</v>
      </c>
      <c r="B38" s="87"/>
      <c r="C38" s="87"/>
      <c r="D38" s="122">
        <v>0.35</v>
      </c>
      <c r="E38" s="257">
        <f>E37*0.35</f>
        <v>154541.96161634999</v>
      </c>
      <c r="F38" s="258"/>
    </row>
    <row r="39" spans="1:6" ht="15.75" thickBot="1" x14ac:dyDescent="0.3"/>
    <row r="40" spans="1:6" ht="18.75" thickBot="1" x14ac:dyDescent="0.3">
      <c r="A40" s="88" t="s">
        <v>58</v>
      </c>
      <c r="B40" s="89"/>
      <c r="C40" s="89"/>
      <c r="D40" s="121" t="s">
        <v>63</v>
      </c>
      <c r="E40" s="216">
        <f>SUM(E37:F38)</f>
        <v>596090.42337734997</v>
      </c>
      <c r="F40" s="217"/>
    </row>
  </sheetData>
  <mergeCells count="44">
    <mergeCell ref="C33:D33"/>
    <mergeCell ref="E33:F33"/>
    <mergeCell ref="E37:F37"/>
    <mergeCell ref="E38:F38"/>
    <mergeCell ref="E40:F40"/>
    <mergeCell ref="A22:B22"/>
    <mergeCell ref="C22:D22"/>
    <mergeCell ref="E20:F20"/>
    <mergeCell ref="E21:F21"/>
    <mergeCell ref="E22:F22"/>
    <mergeCell ref="C31:D31"/>
    <mergeCell ref="E31:F31"/>
    <mergeCell ref="E29:F29"/>
    <mergeCell ref="E30:F30"/>
    <mergeCell ref="C29:D29"/>
    <mergeCell ref="C30:D30"/>
    <mergeCell ref="E24:F24"/>
    <mergeCell ref="E25:F25"/>
    <mergeCell ref="E26:F26"/>
    <mergeCell ref="E27:F27"/>
    <mergeCell ref="A28:B28"/>
    <mergeCell ref="C6:D6"/>
    <mergeCell ref="E6:F6"/>
    <mergeCell ref="E4:F4"/>
    <mergeCell ref="E5:F5"/>
    <mergeCell ref="A6:B6"/>
    <mergeCell ref="E11:F11"/>
    <mergeCell ref="B11:D11"/>
    <mergeCell ref="E9:F9"/>
    <mergeCell ref="E10:F10"/>
    <mergeCell ref="E28:F28"/>
    <mergeCell ref="C28:D28"/>
    <mergeCell ref="E12:F12"/>
    <mergeCell ref="E13:F13"/>
    <mergeCell ref="E14:F14"/>
    <mergeCell ref="B27:D27"/>
    <mergeCell ref="C7:F7"/>
    <mergeCell ref="C23:F23"/>
    <mergeCell ref="C12:D12"/>
    <mergeCell ref="C13:D13"/>
    <mergeCell ref="C14:D14"/>
    <mergeCell ref="E15:F15"/>
    <mergeCell ref="C15:D15"/>
    <mergeCell ref="E8:F8"/>
  </mergeCells>
  <dataValidations disablePrompts="1" count="1">
    <dataValidation type="list" allowBlank="1" showInputMessage="1" showErrorMessage="1" sqref="E8:F8 E24:F24" xr:uid="{6A755F54-E21C-4B18-B912-117937652BE4}">
      <formula1>"Low, Medium, High"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92C67-6E2C-4B11-AAD3-03AFF510F0DB}">
  <dimension ref="A1:F40"/>
  <sheetViews>
    <sheetView workbookViewId="0">
      <selection activeCell="E33" sqref="E33:F33"/>
    </sheetView>
  </sheetViews>
  <sheetFormatPr defaultRowHeight="15" x14ac:dyDescent="0.25"/>
  <cols>
    <col min="1" max="1" width="26.5703125" customWidth="1"/>
    <col min="2" max="2" width="30.28515625" customWidth="1"/>
    <col min="3" max="3" width="21.85546875" customWidth="1"/>
    <col min="4" max="4" width="19" customWidth="1"/>
    <col min="5" max="5" width="16.85546875" customWidth="1"/>
    <col min="6" max="6" width="26" customWidth="1"/>
  </cols>
  <sheetData>
    <row r="1" spans="1:6" ht="29.25" x14ac:dyDescent="0.25">
      <c r="A1" s="39" t="s">
        <v>60</v>
      </c>
      <c r="B1" s="6"/>
      <c r="C1" s="6"/>
      <c r="D1" s="6"/>
      <c r="E1" s="6"/>
      <c r="F1" s="6"/>
    </row>
    <row r="2" spans="1:6" ht="15.75" thickBot="1" x14ac:dyDescent="0.3">
      <c r="A2" s="6"/>
      <c r="B2" s="6"/>
      <c r="C2" s="6"/>
      <c r="D2" s="6"/>
      <c r="E2" s="6"/>
      <c r="F2" s="6"/>
    </row>
    <row r="3" spans="1:6" ht="19.5" thickBot="1" x14ac:dyDescent="0.35">
      <c r="A3" s="41" t="s">
        <v>54</v>
      </c>
      <c r="B3" s="49"/>
    </row>
    <row r="4" spans="1:6" ht="18" thickBot="1" x14ac:dyDescent="0.35">
      <c r="A4" s="42" t="s">
        <v>38</v>
      </c>
      <c r="B4" s="50"/>
      <c r="C4" s="44"/>
      <c r="D4" s="43"/>
      <c r="E4" s="224" t="s">
        <v>51</v>
      </c>
      <c r="F4" s="225"/>
    </row>
    <row r="5" spans="1:6" ht="18" thickBot="1" x14ac:dyDescent="0.35">
      <c r="A5" s="57" t="s">
        <v>61</v>
      </c>
      <c r="B5" s="58"/>
      <c r="C5" s="59"/>
      <c r="D5" s="59"/>
      <c r="E5" s="226">
        <f>'Client Fees'!E28</f>
        <v>1375000</v>
      </c>
      <c r="F5" s="227"/>
    </row>
    <row r="6" spans="1:6" ht="18.75" thickBot="1" x14ac:dyDescent="0.3">
      <c r="A6" s="220" t="s">
        <v>40</v>
      </c>
      <c r="B6" s="221"/>
      <c r="C6" s="218" t="s">
        <v>53</v>
      </c>
      <c r="D6" s="219"/>
      <c r="E6" s="216">
        <f>SUM(E5:E5)</f>
        <v>1375000</v>
      </c>
      <c r="F6" s="217"/>
    </row>
    <row r="7" spans="1:6" ht="15.75" thickBot="1" x14ac:dyDescent="0.3">
      <c r="C7" s="211"/>
      <c r="D7" s="211"/>
      <c r="E7" s="211"/>
      <c r="F7" s="211"/>
    </row>
    <row r="8" spans="1:6" ht="19.5" thickBot="1" x14ac:dyDescent="0.35">
      <c r="A8" s="45" t="s">
        <v>41</v>
      </c>
      <c r="B8" s="46"/>
      <c r="C8" s="60"/>
      <c r="D8" s="60"/>
      <c r="E8" s="220" t="s">
        <v>49</v>
      </c>
      <c r="F8" s="221"/>
    </row>
    <row r="9" spans="1:6" ht="17.25" x14ac:dyDescent="0.25">
      <c r="A9" s="53" t="s">
        <v>42</v>
      </c>
      <c r="B9" s="54"/>
      <c r="C9" s="61"/>
      <c r="D9" s="61"/>
      <c r="E9" s="278">
        <f>IF(E8="Medium",IF(E6&gt;Data!$C$39,IF(E6&gt;Data!$C$40,IF(E6&gt;Data!$C$41,IF(E6&gt;Data!$C$42,IF(E6&gt;Data!$C$43,IF(E6&gt;Data!$C$44,IF(E6&gt;Data!$C$45,IF(E6&gt;Data!$C$46,IF(E6&gt;Data!$C$47,IF(E6&gt;Data!$C$48,IF(E6&gt;Data!$C$49,Data!$D$50,Data!$D$49),Data!$D$48),Data!$D$47),Data!$D$46),Data!$D$45),Data!$D$44),Data!$D$43),Data!$D$42),Data!$D$41),Data!$D$40),Data!$D$39),IF(E8="High",(IF(E6&gt;Data!$C$20,IF(E6&gt;Data!$C$21,IF(E6&gt;Data!$C$22,IF(E6&gt;Data!$C$23,IF(E6&gt;Data!$C$24,IF(E6&gt;Data!$C$25,IF(E6&gt;Data!$C$26,IF(E6&gt;Data!$C$27,IF(E6&gt;Data!$C$28,IF(E6&gt;Data!$C$29,IF(E6&gt;Data!$C$30,Data!$D$31,Data!$D$30),Data!$D$28),Data!E20),Data!$D$26),Data!$D$25),Data!$D$24),Data!$D$43),Data!$D$23),Data!$D$22),Data!$D$21),Data!$D$20)),IF(E8="Low",(IF(E6&gt;Data!$C$58,IF(E6&gt;Data!$C$59,IF(E6&gt;Data!$C$60,IF(E6&gt;Data!$C$61,IF(E6&gt;Data!$C$62,IF(E6&gt;Data!$C$63,IF(E6&gt;Data!$C$64,IF(E6&gt;Data!$C$65,IF(E6&gt;Data!$C$66,IF(E6&gt;Data!$C$67,IF(E6&gt;Data!$C$68,Data!$D$69,Data!$D$68),Data!$D$67),Data!$D$66),Data!$D$65),Data!$D$64),Data!$D$63),Data!$D$62),Data!$D$61),Data!$D$60),Data!$D$59),Data!$D$58)))))</f>
        <v>110217.17</v>
      </c>
      <c r="F9" s="279"/>
    </row>
    <row r="10" spans="1:6" ht="18" thickBot="1" x14ac:dyDescent="0.35">
      <c r="A10" s="55" t="s">
        <v>43</v>
      </c>
      <c r="B10" s="56"/>
      <c r="C10" s="62"/>
      <c r="D10" s="62"/>
      <c r="E10" s="232">
        <f>IF(E8="Medium",(E6-(VLOOKUP(E9,Data!$D$39:$F$50,3,FALSE)))*(VLOOKUP(E9,Data!$D$39:$F$50,2,FALSE)),IF(E8="High",(E6-(VLOOKUP(E9,Data!$D$20:$F$31,3,FALSE)))*(VLOOKUP(E9,Data!$D$20:$F$31,2,FALSE)),IF(E8="Low",(E6-(VLOOKUP(E9,Data!$D$58:$F$69,3,FALSE)))*(VLOOKUP(E9,Data!$D$58:$F$69,2,FALSE)))))</f>
        <v>81272.387900000002</v>
      </c>
      <c r="F10" s="161"/>
    </row>
    <row r="11" spans="1:6" ht="18.75" thickBot="1" x14ac:dyDescent="0.3">
      <c r="A11" s="47" t="s">
        <v>44</v>
      </c>
      <c r="B11" s="230"/>
      <c r="C11" s="230"/>
      <c r="D11" s="155"/>
      <c r="E11" s="228">
        <f>SUM(C9:F10)</f>
        <v>191489.55790000001</v>
      </c>
      <c r="F11" s="229"/>
    </row>
    <row r="12" spans="1:6" ht="19.5" thickBot="1" x14ac:dyDescent="0.35">
      <c r="A12" s="48" t="s">
        <v>45</v>
      </c>
      <c r="B12" s="51"/>
      <c r="C12" s="212" t="s">
        <v>50</v>
      </c>
      <c r="D12" s="213"/>
      <c r="E12" s="212" t="s">
        <v>52</v>
      </c>
      <c r="F12" s="213"/>
    </row>
    <row r="13" spans="1:6" ht="17.25" x14ac:dyDescent="0.3">
      <c r="A13" s="8" t="s">
        <v>29</v>
      </c>
      <c r="B13" s="9" t="s">
        <v>47</v>
      </c>
      <c r="C13" s="214">
        <v>0.4</v>
      </c>
      <c r="D13" s="214"/>
      <c r="E13" s="231">
        <f>E11*C13</f>
        <v>76595.823160000014</v>
      </c>
      <c r="F13" s="158"/>
    </row>
    <row r="14" spans="1:6" ht="18" thickBot="1" x14ac:dyDescent="0.35">
      <c r="A14" s="5" t="s">
        <v>46</v>
      </c>
      <c r="B14" s="11" t="s">
        <v>48</v>
      </c>
      <c r="C14" s="215">
        <v>0.2</v>
      </c>
      <c r="D14" s="215"/>
      <c r="E14" s="232">
        <f>E11*C14</f>
        <v>38297.911580000007</v>
      </c>
      <c r="F14" s="161"/>
    </row>
    <row r="15" spans="1:6" ht="18.75" thickBot="1" x14ac:dyDescent="0.3">
      <c r="A15" s="6"/>
      <c r="B15" s="6"/>
      <c r="C15" s="218" t="s">
        <v>53</v>
      </c>
      <c r="D15" s="219"/>
      <c r="E15" s="216">
        <f>SUM(E13:F14)</f>
        <v>114893.73474000001</v>
      </c>
      <c r="F15" s="217"/>
    </row>
    <row r="17" spans="1:6" ht="29.25" x14ac:dyDescent="0.25">
      <c r="A17" s="39" t="s">
        <v>9</v>
      </c>
      <c r="B17" s="6"/>
      <c r="C17" s="6"/>
      <c r="D17" s="6"/>
      <c r="E17" s="6"/>
      <c r="F17" s="6"/>
    </row>
    <row r="18" spans="1:6" ht="15.75" thickBot="1" x14ac:dyDescent="0.3">
      <c r="A18" s="6"/>
      <c r="B18" s="6"/>
      <c r="C18" s="6"/>
      <c r="D18" s="6"/>
      <c r="E18" s="6"/>
      <c r="F18" s="6"/>
    </row>
    <row r="19" spans="1:6" ht="19.5" thickBot="1" x14ac:dyDescent="0.35">
      <c r="A19" s="64" t="s">
        <v>37</v>
      </c>
      <c r="B19" s="65"/>
      <c r="C19" s="40"/>
      <c r="D19" s="40"/>
      <c r="E19" s="40"/>
      <c r="F19" s="40"/>
    </row>
    <row r="20" spans="1:6" ht="18" thickBot="1" x14ac:dyDescent="0.35">
      <c r="A20" s="66" t="s">
        <v>38</v>
      </c>
      <c r="B20" s="67"/>
      <c r="C20" s="70"/>
      <c r="D20" s="67"/>
      <c r="E20" s="239" t="s">
        <v>51</v>
      </c>
      <c r="F20" s="240"/>
    </row>
    <row r="21" spans="1:6" ht="18" thickBot="1" x14ac:dyDescent="0.35">
      <c r="A21" s="68" t="s">
        <v>61</v>
      </c>
      <c r="B21" s="69"/>
      <c r="C21" s="71"/>
      <c r="D21" s="71"/>
      <c r="E21" s="241">
        <f>'Client Fees'!E35</f>
        <v>36157000</v>
      </c>
      <c r="F21" s="242"/>
    </row>
    <row r="22" spans="1:6" ht="18.75" thickBot="1" x14ac:dyDescent="0.3">
      <c r="A22" s="235" t="s">
        <v>40</v>
      </c>
      <c r="B22" s="236"/>
      <c r="C22" s="237" t="s">
        <v>53</v>
      </c>
      <c r="D22" s="238"/>
      <c r="E22" s="243">
        <f>SUM(E21:F21)</f>
        <v>36157000</v>
      </c>
      <c r="F22" s="244"/>
    </row>
    <row r="23" spans="1:6" ht="15.75" thickBot="1" x14ac:dyDescent="0.3">
      <c r="C23" s="211"/>
      <c r="D23" s="211"/>
      <c r="E23" s="211"/>
      <c r="F23" s="211"/>
    </row>
    <row r="24" spans="1:6" ht="19.5" thickBot="1" x14ac:dyDescent="0.35">
      <c r="A24" s="72" t="s">
        <v>41</v>
      </c>
      <c r="B24" s="73"/>
      <c r="C24" s="74"/>
      <c r="D24" s="74"/>
      <c r="E24" s="235" t="s">
        <v>49</v>
      </c>
      <c r="F24" s="236"/>
    </row>
    <row r="25" spans="1:6" ht="17.25" x14ac:dyDescent="0.25">
      <c r="A25" s="75" t="s">
        <v>42</v>
      </c>
      <c r="B25" s="76"/>
      <c r="C25" s="77"/>
      <c r="D25" s="77"/>
      <c r="E25" s="249">
        <f>IF(E24="Medium",IF(E22&gt;Data!$C$39,IF(E22&gt;Data!$C$40,IF(E22&gt;Data!$C$41,IF(E22&gt;Data!$C$42,IF(E22&gt;Data!$C$43,IF(E22&gt;Data!$C$44,IF(E22&gt;Data!$C$45,IF(E22&gt;Data!$C$46,IF(E22&gt;Data!$C$47,IF(E22&gt;Data!$C$48,IF(E22&gt;Data!$C$49,Data!$D$50,Data!$D$49),Data!$D$48),Data!$D$47),Data!$D$46),Data!$D$45),Data!$D$44),Data!$D$43),Data!$D$42),Data!$D$41),Data!$D$40),Data!$D$39),IF(E24="High",(IF(E22&gt;Data!$C$20,IF(E22&gt;Data!$C$21,IF(E22&gt;Data!$C$22,IF(E22&gt;Data!$C$23,IF(E22&gt;Data!$C$24,IF(E22&gt;Data!$C$25,IF(E22&gt;Data!$C$26,IF(E22&gt;Data!$C$27,IF(E22&gt;Data!$C$28,IF(E22&gt;Data!$C$29,IF(E22&gt;Data!$C$30,Data!$D$31,Data!$D$30),Data!$D$28),Data!E36),Data!$D$26),Data!$D$25),Data!$D$24),Data!$D$43),Data!$D$23),Data!$D$22),Data!$D$21),Data!$D$20)),IF(E24="Low",(IF(E22&gt;Data!$C$58,IF(E22&gt;Data!$C$59,IF(E22&gt;Data!$C$60,IF(E22&gt;Data!$C$61,IF(E22&gt;Data!$C$62,IF(E22&gt;Data!$C$63,IF(E22&gt;Data!$C$64,IF(E22&gt;Data!$C$65,IF(E22&gt;Data!$C$66,IF(E22&gt;Data!$C$67,IF(E22&gt;Data!$C$68,Data!$D$69,Data!$D$68),Data!$D$67),Data!$D$66),Data!$D$65),Data!$D$64),Data!$D$63),Data!$D$62),Data!$D$61),Data!$D$60),Data!$D$59),Data!$D$58)))))</f>
        <v>1231500.08</v>
      </c>
      <c r="F25" s="250"/>
    </row>
    <row r="26" spans="1:6" ht="18" thickBot="1" x14ac:dyDescent="0.3">
      <c r="A26" s="78" t="s">
        <v>43</v>
      </c>
      <c r="B26" s="79"/>
      <c r="C26" s="80"/>
      <c r="D26" s="80"/>
      <c r="E26" s="251">
        <f>IF(E24="Medium",(E22-(VLOOKUP(E25,Data!$D$39:$F$50,3,FALSE)))*(VLOOKUP(E25,Data!$D$39:$F$50,2,FALSE)),IF(E24="High",(E22-(VLOOKUP(E25,Data!$D$20:$F$31,3,FALSE)))*(VLOOKUP(E25,Data!$D$20:$F$31,2,FALSE)),IF(E24="Low",(E22-(VLOOKUP(E25,Data!$D$58:$F$69,3,FALSE)))*(VLOOKUP(E25,Data!$D$58:$F$69,2,FALSE)))))</f>
        <v>1850244.2201</v>
      </c>
      <c r="F26" s="252"/>
    </row>
    <row r="27" spans="1:6" ht="18.75" thickBot="1" x14ac:dyDescent="0.3">
      <c r="A27" s="81" t="s">
        <v>44</v>
      </c>
      <c r="B27" s="255"/>
      <c r="C27" s="255"/>
      <c r="D27" s="256"/>
      <c r="E27" s="253">
        <f>SUM(D25:F26)</f>
        <v>3081744.3001000001</v>
      </c>
      <c r="F27" s="254"/>
    </row>
    <row r="28" spans="1:6" ht="19.5" thickBot="1" x14ac:dyDescent="0.35">
      <c r="A28" s="222" t="s">
        <v>45</v>
      </c>
      <c r="B28" s="223"/>
      <c r="C28" s="233" t="s">
        <v>50</v>
      </c>
      <c r="D28" s="234"/>
      <c r="E28" s="233" t="s">
        <v>52</v>
      </c>
      <c r="F28" s="234"/>
    </row>
    <row r="29" spans="1:6" ht="17.25" x14ac:dyDescent="0.3">
      <c r="A29" s="82" t="s">
        <v>29</v>
      </c>
      <c r="B29" s="83" t="s">
        <v>47</v>
      </c>
      <c r="C29" s="247">
        <v>0.4</v>
      </c>
      <c r="D29" s="247"/>
      <c r="E29" s="245">
        <f>E27*C29</f>
        <v>1232697.72004</v>
      </c>
      <c r="F29" s="246"/>
    </row>
    <row r="30" spans="1:6" ht="18" thickBot="1" x14ac:dyDescent="0.35">
      <c r="A30" s="84" t="s">
        <v>46</v>
      </c>
      <c r="B30" s="85" t="s">
        <v>48</v>
      </c>
      <c r="C30" s="248">
        <v>0.2</v>
      </c>
      <c r="D30" s="248"/>
      <c r="E30" s="241">
        <f>E27*C30</f>
        <v>616348.86002000002</v>
      </c>
      <c r="F30" s="242"/>
    </row>
    <row r="31" spans="1:6" ht="18.75" thickBot="1" x14ac:dyDescent="0.3">
      <c r="A31" s="6"/>
      <c r="B31" s="6"/>
      <c r="C31" s="237" t="s">
        <v>53</v>
      </c>
      <c r="D31" s="238"/>
      <c r="E31" s="216">
        <f>SUM(E29:F30)</f>
        <v>1849046.5800600001</v>
      </c>
      <c r="F31" s="217"/>
    </row>
    <row r="32" spans="1:6" ht="15.75" thickBot="1" x14ac:dyDescent="0.3"/>
    <row r="33" spans="1:6" ht="18.75" thickBot="1" x14ac:dyDescent="0.3">
      <c r="C33" s="237" t="s">
        <v>55</v>
      </c>
      <c r="D33" s="238"/>
      <c r="E33" s="216">
        <f>SUM(E31:F32)*0.35</f>
        <v>647166.303021</v>
      </c>
      <c r="F33" s="217"/>
    </row>
    <row r="35" spans="1:6" ht="29.25" x14ac:dyDescent="0.25">
      <c r="A35" s="39" t="s">
        <v>56</v>
      </c>
    </row>
    <row r="36" spans="1:6" ht="15.75" thickBot="1" x14ac:dyDescent="0.3"/>
    <row r="37" spans="1:6" ht="18.75" thickBot="1" x14ac:dyDescent="0.3">
      <c r="A37" s="86" t="s">
        <v>59</v>
      </c>
      <c r="B37" s="87"/>
      <c r="C37" s="87"/>
      <c r="D37" s="123" t="s">
        <v>63</v>
      </c>
      <c r="E37" s="257">
        <f>(E15+E33)</f>
        <v>762060.03776099999</v>
      </c>
      <c r="F37" s="258"/>
    </row>
    <row r="38" spans="1:6" ht="18.75" thickBot="1" x14ac:dyDescent="0.3">
      <c r="A38" s="86" t="s">
        <v>57</v>
      </c>
      <c r="B38" s="87"/>
      <c r="C38" s="87"/>
      <c r="D38" s="122">
        <v>0.35</v>
      </c>
      <c r="E38" s="259">
        <f>E37*0.35</f>
        <v>266721.01321634999</v>
      </c>
      <c r="F38" s="258"/>
    </row>
    <row r="39" spans="1:6" ht="15.75" thickBot="1" x14ac:dyDescent="0.3"/>
    <row r="40" spans="1:6" ht="18.75" thickBot="1" x14ac:dyDescent="0.3">
      <c r="A40" s="88" t="s">
        <v>58</v>
      </c>
      <c r="B40" s="89"/>
      <c r="C40" s="89"/>
      <c r="D40" s="121" t="s">
        <v>63</v>
      </c>
      <c r="E40" s="216">
        <f>SUM(E37:F38)</f>
        <v>1028781.05097735</v>
      </c>
      <c r="F40" s="217"/>
    </row>
  </sheetData>
  <mergeCells count="44">
    <mergeCell ref="C33:D33"/>
    <mergeCell ref="E33:F33"/>
    <mergeCell ref="E37:F37"/>
    <mergeCell ref="E38:F38"/>
    <mergeCell ref="E40:F40"/>
    <mergeCell ref="C29:D29"/>
    <mergeCell ref="E29:F29"/>
    <mergeCell ref="C30:D30"/>
    <mergeCell ref="E30:F30"/>
    <mergeCell ref="C31:D31"/>
    <mergeCell ref="E31:F31"/>
    <mergeCell ref="A28:B28"/>
    <mergeCell ref="C28:D28"/>
    <mergeCell ref="E28:F28"/>
    <mergeCell ref="E20:F20"/>
    <mergeCell ref="E21:F21"/>
    <mergeCell ref="A22:B22"/>
    <mergeCell ref="C22:D22"/>
    <mergeCell ref="E22:F22"/>
    <mergeCell ref="C23:F23"/>
    <mergeCell ref="E24:F24"/>
    <mergeCell ref="E25:F25"/>
    <mergeCell ref="E26:F26"/>
    <mergeCell ref="B27:D27"/>
    <mergeCell ref="E27:F27"/>
    <mergeCell ref="C13:D13"/>
    <mergeCell ref="E13:F13"/>
    <mergeCell ref="C14:D14"/>
    <mergeCell ref="E14:F14"/>
    <mergeCell ref="C15:D15"/>
    <mergeCell ref="E15:F15"/>
    <mergeCell ref="C12:D12"/>
    <mergeCell ref="E12:F12"/>
    <mergeCell ref="E4:F4"/>
    <mergeCell ref="E5:F5"/>
    <mergeCell ref="A6:B6"/>
    <mergeCell ref="C6:D6"/>
    <mergeCell ref="E6:F6"/>
    <mergeCell ref="C7:F7"/>
    <mergeCell ref="E8:F8"/>
    <mergeCell ref="E9:F9"/>
    <mergeCell ref="E10:F10"/>
    <mergeCell ref="B11:D11"/>
    <mergeCell ref="E11:F11"/>
  </mergeCells>
  <dataValidations count="1">
    <dataValidation type="list" allowBlank="1" showInputMessage="1" showErrorMessage="1" sqref="E24:F24 E8:F8" xr:uid="{F1615EA5-8ACE-4272-B9C9-36EB5AAA0564}">
      <formula1>"Low, Medium, High"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2A142-C35C-48BA-930B-FF214A5E0F9A}">
  <dimension ref="A1:E15"/>
  <sheetViews>
    <sheetView workbookViewId="0">
      <selection activeCell="D2" sqref="D2:E2"/>
    </sheetView>
  </sheetViews>
  <sheetFormatPr defaultRowHeight="15" x14ac:dyDescent="0.25"/>
  <cols>
    <col min="1" max="1" width="48.7109375" bestFit="1" customWidth="1"/>
    <col min="2" max="2" width="23" bestFit="1" customWidth="1"/>
    <col min="3" max="3" width="28.5703125" bestFit="1" customWidth="1"/>
    <col min="4" max="4" width="17.85546875" customWidth="1"/>
  </cols>
  <sheetData>
    <row r="1" spans="1:5" ht="20.25" thickBot="1" x14ac:dyDescent="0.3">
      <c r="A1" s="108" t="s">
        <v>27</v>
      </c>
      <c r="B1" s="98"/>
      <c r="C1" s="99" t="s">
        <v>28</v>
      </c>
      <c r="D1" s="260" t="s">
        <v>14</v>
      </c>
      <c r="E1" s="261"/>
    </row>
    <row r="2" spans="1:5" ht="17.25" x14ac:dyDescent="0.25">
      <c r="A2" s="115" t="s">
        <v>29</v>
      </c>
      <c r="B2" s="100"/>
      <c r="C2" s="119">
        <v>0.8</v>
      </c>
      <c r="D2" s="266">
        <f>(('Client Fees'!E41)+('Client Fees'!E16))*C2</f>
        <v>866598.1196558401</v>
      </c>
      <c r="E2" s="267"/>
    </row>
    <row r="3" spans="1:5" ht="18" thickBot="1" x14ac:dyDescent="0.3">
      <c r="A3" s="116" t="s">
        <v>30</v>
      </c>
      <c r="B3" s="101"/>
      <c r="C3" s="120">
        <v>0.5</v>
      </c>
      <c r="D3" s="268">
        <f>(('Client Fees'!E42)+('Client Fees'!E17))*C3</f>
        <v>270811.91239245003</v>
      </c>
      <c r="E3" s="269"/>
    </row>
    <row r="4" spans="1:5" ht="20.25" thickBot="1" x14ac:dyDescent="0.3">
      <c r="A4" s="97" t="s">
        <v>31</v>
      </c>
      <c r="B4" s="102" t="s">
        <v>32</v>
      </c>
      <c r="C4" s="103">
        <f>D4/D15</f>
        <v>0.70000000000000007</v>
      </c>
      <c r="D4" s="262">
        <f>SUM(D2:D3)</f>
        <v>1137410.0320482901</v>
      </c>
      <c r="E4" s="263"/>
    </row>
    <row r="5" spans="1:5" ht="15.75" thickBot="1" x14ac:dyDescent="0.3">
      <c r="A5" s="6"/>
      <c r="B5" s="6"/>
      <c r="C5" s="6"/>
      <c r="D5" s="6"/>
    </row>
    <row r="6" spans="1:5" ht="20.25" thickBot="1" x14ac:dyDescent="0.3">
      <c r="A6" s="41" t="s">
        <v>33</v>
      </c>
      <c r="B6" s="109"/>
      <c r="C6" s="110" t="s">
        <v>28</v>
      </c>
      <c r="D6" s="270" t="s">
        <v>14</v>
      </c>
      <c r="E6" s="271"/>
    </row>
    <row r="7" spans="1:5" ht="17.25" x14ac:dyDescent="0.25">
      <c r="A7" s="53" t="s">
        <v>34</v>
      </c>
      <c r="B7" s="111"/>
      <c r="C7" s="117">
        <v>0.2</v>
      </c>
      <c r="D7" s="272">
        <f>(('Client Fees'!E41)+('Client Fees'!E16))*C7</f>
        <v>216649.52991396002</v>
      </c>
      <c r="E7" s="273"/>
    </row>
    <row r="8" spans="1:5" ht="18" thickBot="1" x14ac:dyDescent="0.3">
      <c r="A8" s="55" t="s">
        <v>35</v>
      </c>
      <c r="B8" s="52"/>
      <c r="C8" s="118">
        <v>0.5</v>
      </c>
      <c r="D8" s="274">
        <f>(('Client Fees'!E42)+('Client Fees'!E17))*C8</f>
        <v>270811.91239245003</v>
      </c>
      <c r="E8" s="275"/>
    </row>
    <row r="9" spans="1:5" ht="20.25" thickBot="1" x14ac:dyDescent="0.3">
      <c r="A9" s="112" t="s">
        <v>31</v>
      </c>
      <c r="B9" s="113" t="s">
        <v>32</v>
      </c>
      <c r="C9" s="114">
        <f>D9/D15</f>
        <v>0.30000000000000004</v>
      </c>
      <c r="D9" s="276">
        <f>SUM(D7:D8)</f>
        <v>487461.44230641006</v>
      </c>
      <c r="E9" s="277"/>
    </row>
    <row r="11" spans="1:5" ht="15.75" thickBot="1" x14ac:dyDescent="0.3"/>
    <row r="12" spans="1:5" ht="20.25" thickBot="1" x14ac:dyDescent="0.3">
      <c r="A12" s="97" t="s">
        <v>27</v>
      </c>
      <c r="B12" s="107"/>
      <c r="C12" s="103">
        <f>C4</f>
        <v>0.70000000000000007</v>
      </c>
      <c r="D12" s="262">
        <f>D4</f>
        <v>1137410.0320482901</v>
      </c>
      <c r="E12" s="263"/>
    </row>
    <row r="13" spans="1:5" ht="20.25" thickBot="1" x14ac:dyDescent="0.3">
      <c r="A13" s="104" t="s">
        <v>33</v>
      </c>
      <c r="B13" s="106"/>
      <c r="C13" s="105">
        <f>C9</f>
        <v>0.30000000000000004</v>
      </c>
      <c r="D13" s="264">
        <f>D9</f>
        <v>487461.44230641006</v>
      </c>
      <c r="E13" s="265"/>
    </row>
    <row r="14" spans="1:5" ht="15.75" thickBot="1" x14ac:dyDescent="0.3"/>
    <row r="15" spans="1:5" ht="20.25" thickBot="1" x14ac:dyDescent="0.3">
      <c r="A15" s="35" t="s">
        <v>26</v>
      </c>
      <c r="B15" s="36"/>
      <c r="C15" s="38" t="s">
        <v>62</v>
      </c>
      <c r="D15" s="216">
        <f>'Client Fees'!E49</f>
        <v>1624871.4743547</v>
      </c>
      <c r="E15" s="217"/>
    </row>
  </sheetData>
  <mergeCells count="11">
    <mergeCell ref="D1:E1"/>
    <mergeCell ref="D15:E15"/>
    <mergeCell ref="D12:E12"/>
    <mergeCell ref="D13:E13"/>
    <mergeCell ref="D2:E2"/>
    <mergeCell ref="D3:E3"/>
    <mergeCell ref="D4:E4"/>
    <mergeCell ref="D6:E6"/>
    <mergeCell ref="D7:E7"/>
    <mergeCell ref="D8:E8"/>
    <mergeCell ref="D9:E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B8C80-E377-44FD-8FA5-A1AEAE094071}">
  <dimension ref="A1:J69"/>
  <sheetViews>
    <sheetView topLeftCell="A23" workbookViewId="0">
      <selection activeCell="D6" sqref="D6"/>
    </sheetView>
  </sheetViews>
  <sheetFormatPr defaultRowHeight="16.5" x14ac:dyDescent="0.3"/>
  <cols>
    <col min="1" max="1" width="43" style="333" customWidth="1"/>
    <col min="2" max="2" width="21.28515625" style="333" customWidth="1"/>
    <col min="3" max="3" width="20" style="333" customWidth="1"/>
    <col min="4" max="4" width="25.85546875" style="333" customWidth="1"/>
    <col min="5" max="5" width="14.28515625" style="333" customWidth="1"/>
    <col min="6" max="6" width="21.42578125" style="333" customWidth="1"/>
    <col min="7" max="7" width="12.140625" style="333" customWidth="1"/>
    <col min="8" max="8" width="24.140625" style="333" customWidth="1"/>
    <col min="9" max="9" width="44.85546875" style="333" customWidth="1"/>
    <col min="10" max="10" width="21.85546875" style="333" customWidth="1"/>
    <col min="11" max="16384" width="9.140625" style="333"/>
  </cols>
  <sheetData>
    <row r="1" spans="1:10" ht="17.25" thickBot="1" x14ac:dyDescent="0.35"/>
    <row r="2" spans="1:10" ht="18" thickBot="1" x14ac:dyDescent="0.35">
      <c r="A2" s="334" t="s">
        <v>40</v>
      </c>
      <c r="B2" s="335">
        <v>3240000</v>
      </c>
      <c r="C2" s="40"/>
      <c r="D2" s="40"/>
      <c r="E2" s="40"/>
      <c r="F2" s="40"/>
      <c r="G2" s="40"/>
      <c r="H2" s="40"/>
      <c r="I2" s="40"/>
      <c r="J2" s="40"/>
    </row>
    <row r="3" spans="1:10" ht="17.25" x14ac:dyDescent="0.3">
      <c r="A3" s="40" t="s">
        <v>41</v>
      </c>
      <c r="B3" s="336" t="s">
        <v>49</v>
      </c>
      <c r="C3" s="40"/>
      <c r="D3" s="40"/>
      <c r="E3" s="40"/>
      <c r="F3" s="40"/>
      <c r="G3" s="40"/>
      <c r="H3" s="40"/>
      <c r="I3" s="40"/>
      <c r="J3" s="40"/>
    </row>
    <row r="4" spans="1:10" ht="17.25" x14ac:dyDescent="0.3">
      <c r="A4" s="40"/>
      <c r="B4" s="40"/>
      <c r="C4" s="40"/>
      <c r="D4" s="40"/>
      <c r="E4" s="40"/>
      <c r="F4" s="40"/>
      <c r="G4" s="40"/>
      <c r="H4" s="40"/>
      <c r="I4" s="40"/>
      <c r="J4" s="40"/>
    </row>
    <row r="5" spans="1:10" ht="18" thickBot="1" x14ac:dyDescent="0.35">
      <c r="A5" s="40"/>
      <c r="B5" s="40"/>
      <c r="C5" s="40"/>
      <c r="D5" s="40"/>
      <c r="E5" s="40"/>
      <c r="F5" s="40"/>
      <c r="G5" s="40"/>
      <c r="H5" s="40"/>
      <c r="I5" s="40"/>
      <c r="J5" s="40"/>
    </row>
    <row r="6" spans="1:10" ht="18" thickBot="1" x14ac:dyDescent="0.35">
      <c r="A6" s="349" t="s">
        <v>77</v>
      </c>
      <c r="B6" s="350"/>
      <c r="C6" s="40"/>
      <c r="D6" s="40"/>
      <c r="E6" s="40"/>
      <c r="F6" s="40"/>
      <c r="G6" s="40"/>
      <c r="H6" s="40"/>
      <c r="I6" s="40"/>
      <c r="J6" s="40"/>
    </row>
    <row r="7" spans="1:10" ht="17.25" x14ac:dyDescent="0.3">
      <c r="A7" s="337" t="s">
        <v>42</v>
      </c>
      <c r="B7" s="338">
        <f>IF(B3="Medium",IF($B$2&gt;C39,IF($B$2&gt;C40,IF($B$2&gt;C41,IF($B$2&gt;C42,IF($B$2&gt;C43,IF($B$2&gt;C44,IF($B$2&gt;C45,IF($B$2&gt;C46,IF($B$2&gt;C47,IF($B$2&gt;C48,IF($B$2&gt;C49,D50,D49),D48),D47),D46),D45),D44),D43),D42),D41),D40),D39),IF(B3="High",IF($B$2&gt;C20,IF($B$2&gt;C21,IF($B$2&gt;C22,IF($B$2&gt;C23,IF($B$2&gt;C24,IF($B$2&gt;C25,IF($B$2&gt;C26,IF($B$2&gt;C27,IF($B$2&gt;C28,IF($B$2&gt;C29,IF($B$2&gt;C30,D31,D30),D29),D28),D27),D26),D25),D24),D23),D22),D21),D20),IF(B3="Low",IF($B$2&gt;C58,IF($B$2&gt;C59,IF($B$2&gt;C60,IF($B$2&gt;C61,IF($B$2&gt;C62,IF($B$2&gt;C63,IF($B$2&gt;C64,IF($B$2&gt;C65,IF($B$2&gt;C66,IF($B$2&gt;C67,IF($B$2&gt;C68,D69,D68),D67),D66),D65),D64),D63),D62),D61),D60),D59),D58))))</f>
        <v>261510.57</v>
      </c>
      <c r="C7" s="40"/>
      <c r="D7" s="40"/>
      <c r="E7" s="40"/>
      <c r="F7" s="40"/>
      <c r="G7" s="40"/>
      <c r="H7" s="40"/>
      <c r="I7" s="40"/>
      <c r="J7" s="40"/>
    </row>
    <row r="8" spans="1:10" ht="18" thickBot="1" x14ac:dyDescent="0.35">
      <c r="A8" s="284" t="s">
        <v>43</v>
      </c>
      <c r="B8" s="339">
        <f>IF($B$3="Medium",($B$2-(VLOOKUP(B7,D39:F50,3,FALSE)))*(VLOOKUP(B7,D39:F50,2,FALSE)),IF($B$3="High",($B$2-(VLOOKUP(B7,D20:F31,3,FALSE)))*(VLOOKUP(B7,D20:F31,2,FALSE)),IF($B$3="Low",($B$2-(VLOOKUP(B7,D58:F69,3,FALSE)))*(VLOOKUP(B7,D58:F69,2,FALSE)))))</f>
        <v>121147.90229999999</v>
      </c>
      <c r="C8" s="40"/>
      <c r="D8" s="40"/>
      <c r="E8" s="40"/>
      <c r="F8" s="40"/>
      <c r="G8" s="40"/>
      <c r="H8" s="40"/>
      <c r="I8" s="40"/>
      <c r="J8" s="40"/>
    </row>
    <row r="9" spans="1:10" ht="18" thickBot="1" x14ac:dyDescent="0.35">
      <c r="A9" s="285" t="s">
        <v>83</v>
      </c>
      <c r="B9" s="340">
        <f>B7+B8</f>
        <v>382658.47230000002</v>
      </c>
      <c r="C9" s="40"/>
      <c r="D9" s="40"/>
      <c r="E9" s="40"/>
      <c r="F9" s="40"/>
      <c r="G9" s="40"/>
      <c r="H9" s="40"/>
      <c r="I9" s="40"/>
      <c r="J9" s="40"/>
    </row>
    <row r="10" spans="1:10" ht="18" thickBot="1" x14ac:dyDescent="0.35">
      <c r="A10" s="285" t="s">
        <v>82</v>
      </c>
      <c r="B10" s="341">
        <v>0</v>
      </c>
      <c r="C10" s="40"/>
      <c r="D10" s="40"/>
      <c r="E10" s="40"/>
      <c r="F10" s="40"/>
      <c r="G10" s="40"/>
      <c r="H10" s="40"/>
      <c r="I10" s="40"/>
      <c r="J10" s="40"/>
    </row>
    <row r="11" spans="1:10" ht="18" thickBot="1" x14ac:dyDescent="0.35">
      <c r="A11" s="285" t="s">
        <v>14</v>
      </c>
      <c r="B11" s="342">
        <f>SUM(B9:B10)</f>
        <v>382658.47230000002</v>
      </c>
      <c r="C11" s="40"/>
      <c r="D11" s="40"/>
      <c r="E11" s="40"/>
      <c r="F11" s="40"/>
      <c r="G11" s="40"/>
      <c r="H11" s="40"/>
      <c r="I11" s="40"/>
      <c r="J11" s="40"/>
    </row>
    <row r="12" spans="1:10" ht="17.25" x14ac:dyDescent="0.3">
      <c r="A12" s="40"/>
      <c r="B12" s="40"/>
      <c r="C12" s="40"/>
      <c r="D12" s="40"/>
      <c r="E12" s="40"/>
      <c r="F12" s="40"/>
      <c r="G12" s="40"/>
      <c r="H12" s="40"/>
      <c r="I12" s="40"/>
      <c r="J12" s="40"/>
    </row>
    <row r="13" spans="1:10" ht="17.25" x14ac:dyDescent="0.3">
      <c r="A13" s="40"/>
      <c r="B13" s="40"/>
      <c r="C13" s="40"/>
      <c r="D13" s="40"/>
      <c r="E13" s="40"/>
      <c r="F13" s="40"/>
      <c r="G13" s="40"/>
      <c r="H13" s="40"/>
      <c r="I13" s="40"/>
      <c r="J13" s="40"/>
    </row>
    <row r="14" spans="1:10" ht="17.25" x14ac:dyDescent="0.3">
      <c r="A14" s="40"/>
      <c r="B14" s="40"/>
      <c r="C14" s="40"/>
      <c r="D14" s="40"/>
      <c r="E14" s="40"/>
      <c r="F14" s="40"/>
      <c r="G14" s="40"/>
      <c r="H14" s="40"/>
      <c r="I14" s="40"/>
      <c r="J14" s="40"/>
    </row>
    <row r="15" spans="1:10" ht="17.25" x14ac:dyDescent="0.3">
      <c r="A15" s="343" t="s">
        <v>84</v>
      </c>
      <c r="B15" s="343"/>
      <c r="C15" s="343"/>
      <c r="D15" s="343"/>
      <c r="E15" s="343"/>
      <c r="F15" s="343"/>
      <c r="G15" s="40"/>
      <c r="H15" s="40"/>
      <c r="I15" s="40"/>
      <c r="J15" s="40"/>
    </row>
    <row r="16" spans="1:10" ht="17.25" x14ac:dyDescent="0.3">
      <c r="A16" s="314" t="s">
        <v>64</v>
      </c>
      <c r="B16" s="315" t="s">
        <v>65</v>
      </c>
      <c r="C16" s="316"/>
      <c r="D16" s="314" t="s">
        <v>42</v>
      </c>
      <c r="E16" s="315" t="s">
        <v>66</v>
      </c>
      <c r="F16" s="316"/>
      <c r="G16" s="40"/>
      <c r="H16" s="320" t="s">
        <v>67</v>
      </c>
      <c r="I16" s="321">
        <f>IF($B$2&gt;C20,IF($B$2&gt;C21,IF($B$2&gt;C22,IF($B$2&gt;C23,IF($B$2&gt;C24,IF($B$2&gt;C25,IF($B$2&gt;C26,IF($B$2&gt;C27,IF($B$2&gt;C28,IF($B$2&gt;C29,IF($B$2&gt;C30,D31,D30),D28),D27),D26),D25),D24),100),D23),D22),D21),D20)</f>
        <v>364263.1</v>
      </c>
      <c r="J16" s="322">
        <f>VLOOKUP(I16,D20:F31,2,FALSE)</f>
        <v>0.1361</v>
      </c>
    </row>
    <row r="17" spans="1:10" ht="17.25" x14ac:dyDescent="0.3">
      <c r="A17" s="314"/>
      <c r="B17" s="317"/>
      <c r="C17" s="318"/>
      <c r="D17" s="314"/>
      <c r="E17" s="317"/>
      <c r="F17" s="318"/>
      <c r="G17" s="40"/>
      <c r="H17" s="323"/>
      <c r="I17" s="40"/>
      <c r="J17" s="324">
        <f>VLOOKUP(I16,D20:F31,3,FALSE)</f>
        <v>2000001</v>
      </c>
    </row>
    <row r="18" spans="1:10" ht="17.25" x14ac:dyDescent="0.3">
      <c r="A18" s="314"/>
      <c r="B18" s="319" t="s">
        <v>68</v>
      </c>
      <c r="C18" s="319" t="s">
        <v>69</v>
      </c>
      <c r="D18" s="314"/>
      <c r="E18" s="319" t="s">
        <v>70</v>
      </c>
      <c r="F18" s="319" t="s">
        <v>71</v>
      </c>
      <c r="G18" s="40"/>
      <c r="H18" s="325"/>
      <c r="I18" s="326"/>
      <c r="J18" s="327">
        <f>($B$2-J17)*J16</f>
        <v>168763.8639</v>
      </c>
    </row>
    <row r="19" spans="1:10" ht="17.25" x14ac:dyDescent="0.3">
      <c r="A19" s="314"/>
      <c r="B19" s="319" t="s">
        <v>72</v>
      </c>
      <c r="C19" s="319" t="s">
        <v>73</v>
      </c>
      <c r="D19" s="319" t="s">
        <v>74</v>
      </c>
      <c r="E19" s="319" t="s">
        <v>75</v>
      </c>
      <c r="F19" s="319" t="s">
        <v>76</v>
      </c>
      <c r="G19" s="40"/>
      <c r="H19" s="40"/>
      <c r="I19" s="40"/>
      <c r="J19" s="40"/>
    </row>
    <row r="20" spans="1:10" ht="17.25" x14ac:dyDescent="0.3">
      <c r="A20" s="286">
        <v>1</v>
      </c>
      <c r="B20" s="287">
        <v>1</v>
      </c>
      <c r="C20" s="287">
        <v>200000</v>
      </c>
      <c r="D20" s="287">
        <v>14249.82</v>
      </c>
      <c r="E20" s="288">
        <v>0.22020000000000001</v>
      </c>
      <c r="F20" s="287">
        <v>1</v>
      </c>
      <c r="G20" s="40"/>
      <c r="H20" s="40"/>
      <c r="I20" s="40"/>
      <c r="J20" s="40"/>
    </row>
    <row r="21" spans="1:10" ht="17.25" x14ac:dyDescent="0.3">
      <c r="A21" s="286">
        <v>2</v>
      </c>
      <c r="B21" s="287">
        <v>200001</v>
      </c>
      <c r="C21" s="287">
        <v>650000</v>
      </c>
      <c r="D21" s="287">
        <v>58288.24</v>
      </c>
      <c r="E21" s="288">
        <v>0.2117</v>
      </c>
      <c r="F21" s="287">
        <v>200001</v>
      </c>
      <c r="G21" s="40"/>
      <c r="H21" s="40"/>
      <c r="I21" s="40"/>
      <c r="J21" s="40"/>
    </row>
    <row r="22" spans="1:10" ht="17.25" x14ac:dyDescent="0.3">
      <c r="A22" s="286">
        <v>3</v>
      </c>
      <c r="B22" s="287">
        <v>650001</v>
      </c>
      <c r="C22" s="287">
        <v>2000000</v>
      </c>
      <c r="D22" s="287">
        <v>153523.63</v>
      </c>
      <c r="E22" s="288">
        <v>0.15609999999999999</v>
      </c>
      <c r="F22" s="287">
        <v>650001</v>
      </c>
      <c r="G22" s="40"/>
      <c r="H22" s="40"/>
      <c r="I22" s="328"/>
      <c r="J22" s="40"/>
    </row>
    <row r="23" spans="1:10" ht="17.25" x14ac:dyDescent="0.3">
      <c r="A23" s="286">
        <v>4</v>
      </c>
      <c r="B23" s="287">
        <v>2000001</v>
      </c>
      <c r="C23" s="287">
        <v>4000000</v>
      </c>
      <c r="D23" s="287">
        <v>364263.1</v>
      </c>
      <c r="E23" s="288">
        <v>0.1361</v>
      </c>
      <c r="F23" s="287">
        <v>2000001</v>
      </c>
      <c r="G23" s="40"/>
      <c r="H23" s="40"/>
      <c r="I23" s="40"/>
      <c r="J23" s="40"/>
    </row>
    <row r="24" spans="1:10" ht="17.25" x14ac:dyDescent="0.3">
      <c r="A24" s="286">
        <v>5</v>
      </c>
      <c r="B24" s="287">
        <v>4000001</v>
      </c>
      <c r="C24" s="287">
        <v>6500000</v>
      </c>
      <c r="D24" s="287">
        <v>636438.06999999995</v>
      </c>
      <c r="E24" s="288">
        <v>0.13250000000000001</v>
      </c>
      <c r="F24" s="287">
        <v>4000001</v>
      </c>
      <c r="G24" s="40"/>
      <c r="H24" s="40"/>
      <c r="I24" s="40"/>
      <c r="J24" s="40"/>
    </row>
    <row r="25" spans="1:10" ht="17.25" x14ac:dyDescent="0.3">
      <c r="A25" s="286">
        <v>6</v>
      </c>
      <c r="B25" s="287">
        <v>6500001</v>
      </c>
      <c r="C25" s="287">
        <v>13000000</v>
      </c>
      <c r="D25" s="287">
        <v>967738.13</v>
      </c>
      <c r="E25" s="288">
        <v>0.11509999999999999</v>
      </c>
      <c r="F25" s="287">
        <v>6500001</v>
      </c>
      <c r="G25" s="40"/>
      <c r="H25" s="40"/>
      <c r="I25" s="40"/>
      <c r="J25" s="329"/>
    </row>
    <row r="26" spans="1:10" ht="17.25" x14ac:dyDescent="0.3">
      <c r="A26" s="286">
        <v>7</v>
      </c>
      <c r="B26" s="287">
        <v>13000001</v>
      </c>
      <c r="C26" s="287">
        <v>40000000</v>
      </c>
      <c r="D26" s="287">
        <v>1715380.21</v>
      </c>
      <c r="E26" s="288">
        <v>0.11119999999999999</v>
      </c>
      <c r="F26" s="287">
        <v>13000001</v>
      </c>
      <c r="G26" s="40"/>
      <c r="H26" s="40"/>
      <c r="I26" s="330"/>
      <c r="J26" s="331"/>
    </row>
    <row r="27" spans="1:10" ht="17.25" x14ac:dyDescent="0.3">
      <c r="A27" s="286">
        <v>8</v>
      </c>
      <c r="B27" s="287">
        <v>40000001</v>
      </c>
      <c r="C27" s="287">
        <v>130000000</v>
      </c>
      <c r="D27" s="287">
        <v>4718284</v>
      </c>
      <c r="E27" s="288">
        <v>0.11119999999999999</v>
      </c>
      <c r="F27" s="287">
        <v>40000001</v>
      </c>
      <c r="G27" s="40"/>
      <c r="H27" s="40"/>
      <c r="I27" s="40"/>
      <c r="J27" s="40"/>
    </row>
    <row r="28" spans="1:10" ht="17.25" x14ac:dyDescent="0.3">
      <c r="A28" s="286">
        <v>9</v>
      </c>
      <c r="B28" s="287">
        <v>130000001</v>
      </c>
      <c r="C28" s="287">
        <v>260000000</v>
      </c>
      <c r="D28" s="287">
        <v>14721703.949999999</v>
      </c>
      <c r="E28" s="288">
        <v>0.10390000000000001</v>
      </c>
      <c r="F28" s="287">
        <v>130000001</v>
      </c>
      <c r="G28" s="40"/>
      <c r="H28" s="40"/>
      <c r="I28" s="330"/>
      <c r="J28" s="40"/>
    </row>
    <row r="29" spans="1:10" ht="17.25" x14ac:dyDescent="0.3">
      <c r="A29" s="286">
        <v>10</v>
      </c>
      <c r="B29" s="287">
        <v>260000001</v>
      </c>
      <c r="C29" s="287">
        <v>520000000</v>
      </c>
      <c r="D29" s="287">
        <v>28238356.02</v>
      </c>
      <c r="E29" s="288">
        <v>0.1016</v>
      </c>
      <c r="F29" s="287">
        <v>260000001</v>
      </c>
      <c r="G29" s="40"/>
      <c r="H29" s="40"/>
      <c r="I29" s="40"/>
      <c r="J29" s="40"/>
    </row>
    <row r="30" spans="1:10" ht="17.25" x14ac:dyDescent="0.3">
      <c r="A30" s="286">
        <v>11</v>
      </c>
      <c r="B30" s="287">
        <v>520000001</v>
      </c>
      <c r="C30" s="287">
        <v>1040000000</v>
      </c>
      <c r="D30" s="287">
        <v>54654882.619999997</v>
      </c>
      <c r="E30" s="288">
        <v>9.9000000000000005E-2</v>
      </c>
      <c r="F30" s="287">
        <v>520000001</v>
      </c>
      <c r="G30" s="40"/>
      <c r="H30" s="40"/>
      <c r="I30" s="40"/>
      <c r="J30" s="328"/>
    </row>
    <row r="31" spans="1:10" ht="17.25" x14ac:dyDescent="0.3">
      <c r="A31" s="286">
        <v>12</v>
      </c>
      <c r="B31" s="287">
        <v>1040000001</v>
      </c>
      <c r="C31" s="289"/>
      <c r="D31" s="287">
        <v>106144722.59</v>
      </c>
      <c r="E31" s="288">
        <v>9.1600000000000001E-2</v>
      </c>
      <c r="F31" s="287">
        <v>1040000001</v>
      </c>
      <c r="G31" s="40"/>
      <c r="H31" s="40"/>
      <c r="I31" s="40"/>
      <c r="J31" s="40"/>
    </row>
    <row r="32" spans="1:10" ht="17.25" x14ac:dyDescent="0.3">
      <c r="A32" s="40"/>
      <c r="B32" s="40"/>
      <c r="C32" s="40"/>
      <c r="D32" s="40"/>
      <c r="E32" s="40"/>
      <c r="F32" s="40"/>
      <c r="G32" s="40"/>
      <c r="H32" s="40"/>
      <c r="I32" s="40"/>
      <c r="J32" s="40"/>
    </row>
    <row r="33" spans="1:10" ht="17.25" x14ac:dyDescent="0.3">
      <c r="A33" s="40"/>
      <c r="B33" s="40"/>
      <c r="C33" s="40"/>
      <c r="D33" s="40"/>
      <c r="E33" s="40"/>
      <c r="F33" s="40"/>
      <c r="G33" s="40"/>
      <c r="H33" s="40"/>
      <c r="I33" s="40"/>
      <c r="J33" s="40"/>
    </row>
    <row r="34" spans="1:10" ht="17.25" x14ac:dyDescent="0.3">
      <c r="A34" s="344" t="s">
        <v>85</v>
      </c>
      <c r="B34" s="344"/>
      <c r="C34" s="344"/>
      <c r="D34" s="344"/>
      <c r="E34" s="344"/>
      <c r="F34" s="344"/>
      <c r="G34" s="40"/>
      <c r="H34" s="40"/>
      <c r="I34" s="40"/>
      <c r="J34" s="40"/>
    </row>
    <row r="35" spans="1:10" ht="17.25" x14ac:dyDescent="0.3">
      <c r="A35" s="306" t="s">
        <v>64</v>
      </c>
      <c r="B35" s="307" t="s">
        <v>65</v>
      </c>
      <c r="C35" s="308"/>
      <c r="D35" s="306" t="s">
        <v>42</v>
      </c>
      <c r="E35" s="307" t="s">
        <v>66</v>
      </c>
      <c r="F35" s="308"/>
      <c r="G35" s="40"/>
      <c r="H35" s="320" t="s">
        <v>67</v>
      </c>
      <c r="I35" s="321">
        <f>IF($B$2&gt;C39,IF($B$2&gt;C40,IF($B$2&gt;C41,IF($B$2&gt;C42,IF($B$2&gt;C43,IF($B$2&gt;C44,IF($B$2&gt;C45,IF($B$2&gt;C46,IF($B$2&gt;C47,IF($B$2&gt;C48,IF($B$2&gt;C49,D50,D49),D47),D46),D45),D44),D43),100),D42),D41),D40),D39)</f>
        <v>312886.84000000003</v>
      </c>
      <c r="J35" s="322">
        <f>VLOOKUP(I35,D39:F50,2,FALSE)</f>
        <v>0.1169</v>
      </c>
    </row>
    <row r="36" spans="1:10" ht="17.25" x14ac:dyDescent="0.3">
      <c r="A36" s="309"/>
      <c r="B36" s="310"/>
      <c r="C36" s="311"/>
      <c r="D36" s="309"/>
      <c r="E36" s="310"/>
      <c r="F36" s="311"/>
      <c r="G36" s="40"/>
      <c r="H36" s="323"/>
      <c r="I36" s="40"/>
      <c r="J36" s="324">
        <f>VLOOKUP(I35,D39:F50,3,FALSE)</f>
        <v>2000001</v>
      </c>
    </row>
    <row r="37" spans="1:10" ht="17.25" x14ac:dyDescent="0.3">
      <c r="A37" s="309"/>
      <c r="B37" s="312" t="s">
        <v>68</v>
      </c>
      <c r="C37" s="312" t="s">
        <v>69</v>
      </c>
      <c r="D37" s="313"/>
      <c r="E37" s="312" t="s">
        <v>70</v>
      </c>
      <c r="F37" s="312" t="s">
        <v>71</v>
      </c>
      <c r="G37" s="40"/>
      <c r="H37" s="325"/>
      <c r="I37" s="326"/>
      <c r="J37" s="327">
        <f>($B$2-J36)*J35</f>
        <v>144955.88310000001</v>
      </c>
    </row>
    <row r="38" spans="1:10" ht="17.25" x14ac:dyDescent="0.3">
      <c r="A38" s="313"/>
      <c r="B38" s="312" t="s">
        <v>72</v>
      </c>
      <c r="C38" s="312" t="s">
        <v>73</v>
      </c>
      <c r="D38" s="312" t="s">
        <v>74</v>
      </c>
      <c r="E38" s="312" t="s">
        <v>75</v>
      </c>
      <c r="F38" s="312" t="s">
        <v>76</v>
      </c>
      <c r="G38" s="40"/>
      <c r="H38" s="40"/>
      <c r="I38" s="40"/>
      <c r="J38" s="40"/>
    </row>
    <row r="39" spans="1:10" ht="17.25" x14ac:dyDescent="0.3">
      <c r="A39" s="290">
        <v>1</v>
      </c>
      <c r="B39" s="291">
        <v>1</v>
      </c>
      <c r="C39" s="291">
        <v>200000</v>
      </c>
      <c r="D39" s="291">
        <v>12240</v>
      </c>
      <c r="E39" s="292">
        <v>0.18909999999999999</v>
      </c>
      <c r="F39" s="291">
        <v>1</v>
      </c>
      <c r="G39" s="40"/>
      <c r="H39" s="40"/>
      <c r="I39" s="40"/>
      <c r="J39" s="40"/>
    </row>
    <row r="40" spans="1:10" ht="17.25" x14ac:dyDescent="0.3">
      <c r="A40" s="290">
        <v>2</v>
      </c>
      <c r="B40" s="291">
        <v>200001</v>
      </c>
      <c r="C40" s="291">
        <v>650000</v>
      </c>
      <c r="D40" s="291">
        <v>50067.17</v>
      </c>
      <c r="E40" s="292">
        <v>0.18179999999999999</v>
      </c>
      <c r="F40" s="291">
        <v>200001</v>
      </c>
      <c r="G40" s="40"/>
      <c r="H40" s="40"/>
      <c r="I40" s="40"/>
      <c r="J40" s="40"/>
    </row>
    <row r="41" spans="1:10" ht="17.25" x14ac:dyDescent="0.3">
      <c r="A41" s="290">
        <v>3</v>
      </c>
      <c r="B41" s="291">
        <v>650001</v>
      </c>
      <c r="C41" s="291">
        <v>2000000</v>
      </c>
      <c r="D41" s="291">
        <v>131870.39000000001</v>
      </c>
      <c r="E41" s="292">
        <v>0.1341</v>
      </c>
      <c r="F41" s="291">
        <v>650001</v>
      </c>
      <c r="G41" s="40"/>
      <c r="H41" s="40"/>
      <c r="I41" s="40"/>
      <c r="J41" s="40"/>
    </row>
    <row r="42" spans="1:10" ht="17.25" x14ac:dyDescent="0.3">
      <c r="A42" s="290">
        <v>4</v>
      </c>
      <c r="B42" s="291">
        <v>2000001</v>
      </c>
      <c r="C42" s="291">
        <v>4000000</v>
      </c>
      <c r="D42" s="291">
        <v>312886.84000000003</v>
      </c>
      <c r="E42" s="292">
        <v>0.1169</v>
      </c>
      <c r="F42" s="291">
        <v>2000001</v>
      </c>
      <c r="G42" s="40"/>
      <c r="H42" s="40"/>
      <c r="I42" s="40"/>
      <c r="J42" s="40"/>
    </row>
    <row r="43" spans="1:10" ht="17.25" x14ac:dyDescent="0.3">
      <c r="A43" s="290">
        <v>5</v>
      </c>
      <c r="B43" s="291">
        <v>4000001</v>
      </c>
      <c r="C43" s="291">
        <v>6500000</v>
      </c>
      <c r="D43" s="291">
        <v>546673.78</v>
      </c>
      <c r="E43" s="292">
        <v>0.1138</v>
      </c>
      <c r="F43" s="291">
        <v>4000001</v>
      </c>
      <c r="G43" s="40"/>
      <c r="H43" s="40"/>
      <c r="I43" s="328"/>
      <c r="J43" s="332"/>
    </row>
    <row r="44" spans="1:10" ht="17.25" x14ac:dyDescent="0.3">
      <c r="A44" s="290">
        <v>6</v>
      </c>
      <c r="B44" s="291">
        <v>6500001</v>
      </c>
      <c r="C44" s="291">
        <v>13000000</v>
      </c>
      <c r="D44" s="291">
        <v>831246.74</v>
      </c>
      <c r="E44" s="292">
        <v>9.8799999999999999E-2</v>
      </c>
      <c r="F44" s="291">
        <v>6500001</v>
      </c>
      <c r="G44" s="40"/>
      <c r="H44" s="40"/>
      <c r="I44" s="40"/>
      <c r="J44" s="40"/>
    </row>
    <row r="45" spans="1:10" ht="17.25" x14ac:dyDescent="0.3">
      <c r="A45" s="290">
        <v>7</v>
      </c>
      <c r="B45" s="291">
        <v>13000001</v>
      </c>
      <c r="C45" s="291">
        <v>40000000</v>
      </c>
      <c r="D45" s="291">
        <v>1473440.14</v>
      </c>
      <c r="E45" s="292">
        <v>9.5600000000000004E-2</v>
      </c>
      <c r="F45" s="291">
        <v>13000001</v>
      </c>
      <c r="G45" s="40"/>
      <c r="H45" s="40"/>
      <c r="I45" s="40"/>
      <c r="J45" s="328"/>
    </row>
    <row r="46" spans="1:10" ht="17.25" x14ac:dyDescent="0.3">
      <c r="A46" s="290">
        <v>8</v>
      </c>
      <c r="B46" s="291">
        <v>40000001</v>
      </c>
      <c r="C46" s="291">
        <v>130000000</v>
      </c>
      <c r="D46" s="291">
        <v>4052809.42</v>
      </c>
      <c r="E46" s="292">
        <v>9.5500000000000002E-2</v>
      </c>
      <c r="F46" s="291">
        <v>40000001</v>
      </c>
      <c r="G46" s="40"/>
      <c r="H46" s="40"/>
      <c r="I46" s="40"/>
      <c r="J46" s="40"/>
    </row>
    <row r="47" spans="1:10" ht="17.25" x14ac:dyDescent="0.3">
      <c r="A47" s="290">
        <v>9</v>
      </c>
      <c r="B47" s="291">
        <v>130000001</v>
      </c>
      <c r="C47" s="291">
        <v>260000000</v>
      </c>
      <c r="D47" s="291">
        <v>12645330.470000001</v>
      </c>
      <c r="E47" s="292">
        <v>8.9399999999999993E-2</v>
      </c>
      <c r="F47" s="291">
        <v>130000001</v>
      </c>
      <c r="G47" s="40"/>
      <c r="H47" s="40"/>
      <c r="I47" s="328"/>
      <c r="J47" s="328"/>
    </row>
    <row r="48" spans="1:10" ht="17.25" x14ac:dyDescent="0.3">
      <c r="A48" s="290">
        <v>10</v>
      </c>
      <c r="B48" s="291">
        <v>260000001</v>
      </c>
      <c r="C48" s="291">
        <v>520000000</v>
      </c>
      <c r="D48" s="291">
        <v>24255571.57</v>
      </c>
      <c r="E48" s="292">
        <v>8.7300000000000003E-2</v>
      </c>
      <c r="F48" s="291">
        <v>260000001</v>
      </c>
      <c r="G48" s="40"/>
      <c r="H48" s="40"/>
      <c r="I48" s="40"/>
      <c r="J48" s="40"/>
    </row>
    <row r="49" spans="1:10" ht="17.25" x14ac:dyDescent="0.3">
      <c r="A49" s="290">
        <v>11</v>
      </c>
      <c r="B49" s="291">
        <v>520000001</v>
      </c>
      <c r="C49" s="291">
        <v>1040000000</v>
      </c>
      <c r="D49" s="291">
        <v>46946267.549999997</v>
      </c>
      <c r="E49" s="292">
        <v>8.5099999999999995E-2</v>
      </c>
      <c r="F49" s="291">
        <v>520000001</v>
      </c>
      <c r="G49" s="40"/>
      <c r="H49" s="40"/>
      <c r="I49" s="40"/>
      <c r="J49" s="40"/>
    </row>
    <row r="50" spans="1:10" ht="17.25" x14ac:dyDescent="0.3">
      <c r="A50" s="290">
        <v>12</v>
      </c>
      <c r="B50" s="291">
        <v>1040000001</v>
      </c>
      <c r="C50" s="293"/>
      <c r="D50" s="291">
        <v>91173895.319999993</v>
      </c>
      <c r="E50" s="292">
        <v>7.8600000000000003E-2</v>
      </c>
      <c r="F50" s="291">
        <v>1040000001</v>
      </c>
      <c r="G50" s="40"/>
      <c r="H50" s="40"/>
      <c r="I50" s="40"/>
      <c r="J50" s="40"/>
    </row>
    <row r="51" spans="1:10" ht="17.25" x14ac:dyDescent="0.3">
      <c r="A51" s="345"/>
      <c r="B51" s="346"/>
      <c r="C51" s="347"/>
      <c r="D51" s="346"/>
      <c r="E51" s="348"/>
      <c r="F51" s="346"/>
      <c r="G51" s="40"/>
      <c r="H51" s="40"/>
      <c r="I51" s="40"/>
      <c r="J51" s="329"/>
    </row>
    <row r="52" spans="1:10" ht="17.25" x14ac:dyDescent="0.3">
      <c r="A52" s="40"/>
      <c r="B52" s="40"/>
      <c r="C52" s="40"/>
      <c r="D52" s="40"/>
      <c r="E52" s="40"/>
      <c r="F52" s="40"/>
      <c r="G52" s="40"/>
      <c r="H52" s="40"/>
      <c r="I52" s="330"/>
      <c r="J52" s="331"/>
    </row>
    <row r="53" spans="1:10" ht="17.25" x14ac:dyDescent="0.3">
      <c r="A53" s="344" t="s">
        <v>86</v>
      </c>
      <c r="B53" s="344"/>
      <c r="C53" s="344"/>
      <c r="D53" s="344"/>
      <c r="E53" s="344"/>
      <c r="F53" s="344"/>
      <c r="G53" s="40"/>
      <c r="H53" s="40"/>
      <c r="I53" s="40"/>
      <c r="J53" s="40"/>
    </row>
    <row r="54" spans="1:10" ht="17.25" x14ac:dyDescent="0.3">
      <c r="A54" s="298" t="s">
        <v>64</v>
      </c>
      <c r="B54" s="299" t="s">
        <v>65</v>
      </c>
      <c r="C54" s="300"/>
      <c r="D54" s="298" t="s">
        <v>42</v>
      </c>
      <c r="E54" s="299" t="s">
        <v>66</v>
      </c>
      <c r="F54" s="300"/>
      <c r="G54" s="40"/>
      <c r="H54" s="320" t="s">
        <v>67</v>
      </c>
      <c r="I54" s="321">
        <f>IF($B$2&gt;C58,IF($B$2&gt;C59,IF($B$2&gt;C60,IF($B$2&gt;C61,IF($B$2&gt;C62,IF($B$2&gt;C63,IF($B$2&gt;C64,IF($B$2&gt;C65,IF($B$2&gt;C66,IF($B$2&gt;C67,IF($B$2&gt;C68,D69,D68),D66),D65),D64),D63),D62),100),D61),D60),D59),D58)</f>
        <v>261510.57</v>
      </c>
      <c r="J54" s="322">
        <f>VLOOKUP(I54,D58:F69,2,FALSE)</f>
        <v>9.7699999999999995E-2</v>
      </c>
    </row>
    <row r="55" spans="1:10" ht="17.25" x14ac:dyDescent="0.3">
      <c r="A55" s="301"/>
      <c r="B55" s="302"/>
      <c r="C55" s="303"/>
      <c r="D55" s="301"/>
      <c r="E55" s="302"/>
      <c r="F55" s="303"/>
      <c r="G55" s="40"/>
      <c r="H55" s="323"/>
      <c r="I55" s="40"/>
      <c r="J55" s="324">
        <f>VLOOKUP(I54,D58:F69,3,FALSE)</f>
        <v>2000001</v>
      </c>
    </row>
    <row r="56" spans="1:10" ht="17.25" x14ac:dyDescent="0.3">
      <c r="A56" s="301"/>
      <c r="B56" s="304" t="s">
        <v>68</v>
      </c>
      <c r="C56" s="304" t="s">
        <v>69</v>
      </c>
      <c r="D56" s="305"/>
      <c r="E56" s="304" t="s">
        <v>70</v>
      </c>
      <c r="F56" s="304" t="s">
        <v>71</v>
      </c>
      <c r="G56" s="40"/>
      <c r="H56" s="325"/>
      <c r="I56" s="326"/>
      <c r="J56" s="327">
        <f>($B$2-J55)*J54</f>
        <v>121147.90229999999</v>
      </c>
    </row>
    <row r="57" spans="1:10" ht="17.25" x14ac:dyDescent="0.3">
      <c r="A57" s="305"/>
      <c r="B57" s="304" t="s">
        <v>72</v>
      </c>
      <c r="C57" s="304" t="s">
        <v>73</v>
      </c>
      <c r="D57" s="304" t="s">
        <v>74</v>
      </c>
      <c r="E57" s="304" t="s">
        <v>75</v>
      </c>
      <c r="F57" s="304" t="s">
        <v>76</v>
      </c>
      <c r="G57" s="40"/>
      <c r="H57" s="40"/>
      <c r="I57" s="40"/>
      <c r="J57" s="40"/>
    </row>
    <row r="58" spans="1:10" ht="17.25" x14ac:dyDescent="0.3">
      <c r="A58" s="294">
        <v>1</v>
      </c>
      <c r="B58" s="295">
        <v>1</v>
      </c>
      <c r="C58" s="295">
        <v>200000</v>
      </c>
      <c r="D58" s="295">
        <v>10230.18</v>
      </c>
      <c r="E58" s="296">
        <v>0.15809999999999999</v>
      </c>
      <c r="F58" s="295">
        <v>1</v>
      </c>
      <c r="G58" s="40"/>
      <c r="H58" s="40"/>
      <c r="I58" s="40"/>
      <c r="J58" s="40"/>
    </row>
    <row r="59" spans="1:10" ht="17.25" x14ac:dyDescent="0.3">
      <c r="A59" s="294">
        <v>2</v>
      </c>
      <c r="B59" s="295">
        <v>200001</v>
      </c>
      <c r="C59" s="295">
        <v>650000</v>
      </c>
      <c r="D59" s="295">
        <v>41846.1</v>
      </c>
      <c r="E59" s="296">
        <v>0.152</v>
      </c>
      <c r="F59" s="295">
        <v>200001</v>
      </c>
      <c r="G59" s="40"/>
      <c r="H59" s="40"/>
      <c r="I59" s="40"/>
      <c r="J59" s="40"/>
    </row>
    <row r="60" spans="1:10" ht="17.25" x14ac:dyDescent="0.3">
      <c r="A60" s="294">
        <v>3</v>
      </c>
      <c r="B60" s="295">
        <v>650001</v>
      </c>
      <c r="C60" s="295">
        <v>2000000</v>
      </c>
      <c r="D60" s="295">
        <v>110217.17</v>
      </c>
      <c r="E60" s="296">
        <v>0.11210000000000001</v>
      </c>
      <c r="F60" s="295">
        <v>650001</v>
      </c>
      <c r="G60" s="40"/>
      <c r="H60" s="40"/>
      <c r="I60" s="40"/>
      <c r="J60" s="40"/>
    </row>
    <row r="61" spans="1:10" ht="17.25" x14ac:dyDescent="0.3">
      <c r="A61" s="294">
        <v>4</v>
      </c>
      <c r="B61" s="295">
        <v>2000001</v>
      </c>
      <c r="C61" s="295">
        <v>4000000</v>
      </c>
      <c r="D61" s="295">
        <v>261510.57</v>
      </c>
      <c r="E61" s="296">
        <v>9.7699999999999995E-2</v>
      </c>
      <c r="F61" s="295">
        <v>2000001</v>
      </c>
      <c r="G61" s="40"/>
      <c r="H61" s="40"/>
      <c r="I61" s="40"/>
      <c r="J61" s="40"/>
    </row>
    <row r="62" spans="1:10" ht="17.25" x14ac:dyDescent="0.3">
      <c r="A62" s="294">
        <v>5</v>
      </c>
      <c r="B62" s="295">
        <v>4000001</v>
      </c>
      <c r="C62" s="295">
        <v>6500000</v>
      </c>
      <c r="D62" s="295">
        <v>456909.51</v>
      </c>
      <c r="E62" s="296">
        <v>9.5200000000000007E-2</v>
      </c>
      <c r="F62" s="295">
        <v>4000001</v>
      </c>
      <c r="G62" s="40"/>
      <c r="H62" s="40"/>
      <c r="I62" s="40"/>
      <c r="J62" s="40"/>
    </row>
    <row r="63" spans="1:10" ht="17.25" x14ac:dyDescent="0.3">
      <c r="A63" s="294">
        <v>6</v>
      </c>
      <c r="B63" s="295">
        <v>6500001</v>
      </c>
      <c r="C63" s="295">
        <v>13000000</v>
      </c>
      <c r="D63" s="295">
        <v>694755.35</v>
      </c>
      <c r="E63" s="296">
        <v>8.2600000000000007E-2</v>
      </c>
      <c r="F63" s="295">
        <v>6500001</v>
      </c>
      <c r="G63" s="40"/>
      <c r="H63" s="40"/>
      <c r="I63" s="40"/>
      <c r="J63" s="40"/>
    </row>
    <row r="64" spans="1:10" ht="17.25" x14ac:dyDescent="0.3">
      <c r="A64" s="294">
        <v>7</v>
      </c>
      <c r="B64" s="295">
        <v>13000001</v>
      </c>
      <c r="C64" s="295">
        <v>40000000</v>
      </c>
      <c r="D64" s="295">
        <v>1231500.08</v>
      </c>
      <c r="E64" s="296">
        <v>7.9899999999999999E-2</v>
      </c>
      <c r="F64" s="295">
        <v>13000001</v>
      </c>
      <c r="G64" s="40"/>
      <c r="H64" s="40"/>
      <c r="I64" s="40"/>
      <c r="J64" s="40"/>
    </row>
    <row r="65" spans="1:10" ht="17.25" x14ac:dyDescent="0.3">
      <c r="A65" s="294">
        <v>8</v>
      </c>
      <c r="B65" s="295">
        <v>40000001</v>
      </c>
      <c r="C65" s="295">
        <v>130000000</v>
      </c>
      <c r="D65" s="295">
        <v>3387334.84</v>
      </c>
      <c r="E65" s="296">
        <v>7.9799999999999996E-2</v>
      </c>
      <c r="F65" s="295">
        <v>40000001</v>
      </c>
      <c r="G65" s="40"/>
      <c r="H65" s="40"/>
      <c r="I65" s="40"/>
      <c r="J65" s="40"/>
    </row>
    <row r="66" spans="1:10" ht="17.25" x14ac:dyDescent="0.3">
      <c r="A66" s="294">
        <v>9</v>
      </c>
      <c r="B66" s="295">
        <v>130000001</v>
      </c>
      <c r="C66" s="295">
        <v>260000000</v>
      </c>
      <c r="D66" s="295">
        <v>10568956.99</v>
      </c>
      <c r="E66" s="296">
        <v>7.4700000000000003E-2</v>
      </c>
      <c r="F66" s="295">
        <v>130000001</v>
      </c>
      <c r="G66" s="40"/>
      <c r="H66" s="40"/>
      <c r="I66" s="40"/>
      <c r="J66" s="40"/>
    </row>
    <row r="67" spans="1:10" ht="17.25" x14ac:dyDescent="0.3">
      <c r="A67" s="294">
        <v>10</v>
      </c>
      <c r="B67" s="295">
        <v>260000001</v>
      </c>
      <c r="C67" s="295">
        <v>520000000</v>
      </c>
      <c r="D67" s="295">
        <v>20272787.120000001</v>
      </c>
      <c r="E67" s="296">
        <v>7.2900000000000006E-2</v>
      </c>
      <c r="F67" s="295">
        <v>260000001</v>
      </c>
      <c r="G67" s="40"/>
      <c r="H67" s="40"/>
      <c r="I67" s="40"/>
      <c r="J67" s="40"/>
    </row>
    <row r="68" spans="1:10" ht="17.25" x14ac:dyDescent="0.3">
      <c r="A68" s="294">
        <v>11</v>
      </c>
      <c r="B68" s="295">
        <v>520000001</v>
      </c>
      <c r="C68" s="295">
        <v>1040000000</v>
      </c>
      <c r="D68" s="295">
        <v>39237652.490000002</v>
      </c>
      <c r="E68" s="296">
        <v>7.1099999999999997E-2</v>
      </c>
      <c r="F68" s="295">
        <v>520000001</v>
      </c>
      <c r="G68" s="40"/>
      <c r="H68" s="40"/>
      <c r="I68" s="40"/>
      <c r="J68" s="40"/>
    </row>
    <row r="69" spans="1:10" ht="17.25" x14ac:dyDescent="0.3">
      <c r="A69" s="294">
        <v>12</v>
      </c>
      <c r="B69" s="295">
        <v>1040000001</v>
      </c>
      <c r="C69" s="297"/>
      <c r="D69" s="295">
        <v>76203068.030000001</v>
      </c>
      <c r="E69" s="296">
        <v>6.5699999999999995E-2</v>
      </c>
      <c r="F69" s="295">
        <v>1040000001</v>
      </c>
      <c r="G69" s="40"/>
      <c r="H69" s="40"/>
      <c r="I69" s="40"/>
      <c r="J69" s="40"/>
    </row>
  </sheetData>
  <mergeCells count="14">
    <mergeCell ref="A35:A38"/>
    <mergeCell ref="A54:A57"/>
    <mergeCell ref="D35:D37"/>
    <mergeCell ref="D54:D56"/>
    <mergeCell ref="B16:C17"/>
    <mergeCell ref="E16:F17"/>
    <mergeCell ref="E35:F36"/>
    <mergeCell ref="B35:C36"/>
    <mergeCell ref="E54:F55"/>
    <mergeCell ref="B54:C55"/>
    <mergeCell ref="A16:A19"/>
    <mergeCell ref="D16:D18"/>
    <mergeCell ref="A6:B6"/>
    <mergeCell ref="A15:F15"/>
  </mergeCells>
  <dataValidations disablePrompts="1" count="1">
    <dataValidation type="list" allowBlank="1" showInputMessage="1" showErrorMessage="1" sqref="B3" xr:uid="{B51F7383-3686-45E5-B056-88C6DDC4D8D2}">
      <formula1>"Low,Medium,High"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Client Fees</vt:lpstr>
      <vt:lpstr>SACAP - Villas</vt:lpstr>
      <vt:lpstr>SACAP - Court</vt:lpstr>
      <vt:lpstr>QS_BH Split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Dewald Potgieter</dc:creator>
  <cp:lastModifiedBy>Dewald Potgieter</cp:lastModifiedBy>
  <dcterms:created xsi:type="dcterms:W3CDTF">2023-09-15T07:38:45Z</dcterms:created>
  <dcterms:modified xsi:type="dcterms:W3CDTF">2023-09-15T15:41:34Z</dcterms:modified>
</cp:coreProperties>
</file>