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6\x029 - Chelsey Morlesq (JHB)\"/>
    </mc:Choice>
  </mc:AlternateContent>
  <xr:revisionPtr revIDLastSave="0" documentId="13_ncr:1_{18A6AFA0-7950-430F-A1EA-37484AA3DDAD}" xr6:coauthVersionLast="47" xr6:coauthVersionMax="47" xr10:uidLastSave="{00000000-0000-0000-0000-000000000000}"/>
  <bookViews>
    <workbookView xWindow="-28335" yWindow="720" windowWidth="27435" windowHeight="14490" activeTab="1" xr2:uid="{260A762B-E942-4A40-AAE5-7E980C9B525F}"/>
  </bookViews>
  <sheets>
    <sheet name="Employees" sheetId="1" r:id="rId1"/>
    <sheet name=" Fees (MS)" sheetId="3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3" l="1"/>
  <c r="E25" i="3"/>
  <c r="H25" i="3" s="1"/>
  <c r="G26" i="3"/>
  <c r="G27" i="3"/>
  <c r="E26" i="3"/>
  <c r="H26" i="3" s="1"/>
  <c r="H56" i="3"/>
  <c r="H21" i="3"/>
  <c r="C42" i="3"/>
  <c r="C43" i="3"/>
  <c r="C44" i="3"/>
  <c r="C45" i="3"/>
  <c r="C46" i="3"/>
  <c r="J53" i="1"/>
  <c r="F17" i="1"/>
  <c r="I17" i="1" s="1"/>
  <c r="F16" i="1"/>
  <c r="I16" i="1" s="1"/>
  <c r="F15" i="1"/>
  <c r="I15" i="1" s="1"/>
  <c r="F14" i="1"/>
  <c r="J32" i="1"/>
  <c r="N38" i="1"/>
  <c r="P38" i="1" s="1"/>
  <c r="P45" i="1" s="1"/>
  <c r="N27" i="1"/>
  <c r="G16" i="3"/>
  <c r="F17" i="3"/>
  <c r="G17" i="3" s="1"/>
  <c r="G31" i="3"/>
  <c r="G32" i="3"/>
  <c r="H67" i="3"/>
  <c r="H57" i="3"/>
  <c r="G35" i="3"/>
  <c r="H35" i="3"/>
  <c r="H58" i="3"/>
  <c r="H59" i="3"/>
  <c r="H68" i="3"/>
  <c r="H63" i="3"/>
  <c r="H62" i="3"/>
  <c r="H61" i="3" s="1"/>
  <c r="G24" i="3"/>
  <c r="G18" i="3"/>
  <c r="H70" i="3"/>
  <c r="J38" i="1"/>
  <c r="J36" i="1"/>
  <c r="I14" i="1" l="1"/>
  <c r="H55" i="3"/>
  <c r="G33" i="3"/>
  <c r="G30" i="3"/>
  <c r="H66" i="3"/>
  <c r="H69" i="3"/>
  <c r="P28" i="1"/>
  <c r="J35" i="1"/>
  <c r="P29" i="1"/>
  <c r="P27" i="1"/>
  <c r="P35" i="1" s="1"/>
  <c r="J37" i="1"/>
  <c r="J40" i="1" l="1"/>
  <c r="H65" i="3"/>
  <c r="H72" i="3" s="1"/>
  <c r="H73" i="3" s="1"/>
  <c r="H81" i="3" l="1"/>
  <c r="G36" i="3"/>
  <c r="G34" i="3"/>
  <c r="G15" i="3" s="1"/>
  <c r="H44" i="3" s="1"/>
  <c r="H41" i="3" s="1"/>
  <c r="G85" i="3" l="1"/>
  <c r="C9" i="2" l="1"/>
  <c r="C10" i="2" s="1"/>
  <c r="K18" i="2"/>
  <c r="L18" i="2" l="1"/>
  <c r="H74" i="3"/>
  <c r="L19" i="2"/>
  <c r="H85" i="3"/>
  <c r="L20" i="2" l="1"/>
  <c r="K19" i="2" s="1"/>
  <c r="E87" i="3"/>
  <c r="E92" i="3" s="1"/>
  <c r="E93" i="3" s="1"/>
  <c r="E94" i="3" l="1"/>
  <c r="E96" i="3" s="1"/>
  <c r="K58" i="2"/>
  <c r="K38" i="2"/>
  <c r="F99" i="3" l="1"/>
  <c r="H99" i="3" s="1"/>
  <c r="F102" i="3"/>
  <c r="H102" i="3" s="1"/>
  <c r="F105" i="3"/>
  <c r="F103" i="3"/>
  <c r="F100" i="3"/>
  <c r="H100" i="3" s="1"/>
  <c r="F104" i="3"/>
  <c r="H104" i="3" s="1"/>
  <c r="F101" i="3"/>
  <c r="H101" i="3" s="1"/>
  <c r="L39" i="2"/>
  <c r="L38" i="2"/>
  <c r="L59" i="2"/>
  <c r="L58" i="2"/>
  <c r="C11" i="2"/>
  <c r="C13" i="2" s="1"/>
  <c r="H103" i="3" l="1"/>
  <c r="H108" i="3"/>
  <c r="H105" i="3"/>
  <c r="L60" i="2"/>
  <c r="K59" i="2" s="1"/>
  <c r="L40" i="2"/>
  <c r="K39" i="2" s="1"/>
  <c r="H107" i="3" l="1"/>
  <c r="H110" i="3" s="1"/>
  <c r="J39" i="1" l="1"/>
  <c r="J42" i="1" s="1"/>
  <c r="J54" i="1" s="1"/>
  <c r="J43" i="1" l="1"/>
  <c r="J44" i="1" s="1"/>
  <c r="J45" i="1" s="1"/>
  <c r="J55" i="1" l="1"/>
  <c r="J49" i="1"/>
  <c r="J48" i="1"/>
  <c r="I53" i="1" l="1"/>
  <c r="I54" i="1"/>
  <c r="J17" i="1"/>
  <c r="G23" i="1" s="1"/>
  <c r="I23" i="1" s="1"/>
  <c r="J16" i="1"/>
  <c r="G22" i="1" s="1"/>
  <c r="J15" i="1"/>
  <c r="J14" i="1"/>
  <c r="G21" i="1" s="1"/>
  <c r="I21" i="1" s="1"/>
  <c r="H47" i="3" l="1"/>
  <c r="E24" i="3"/>
  <c r="H24" i="3" s="1"/>
  <c r="E27" i="3"/>
  <c r="H27" i="3" s="1"/>
  <c r="J28" i="3" s="1"/>
  <c r="E18" i="3"/>
  <c r="H18" i="3" s="1"/>
  <c r="E17" i="3"/>
  <c r="H17" i="3" s="1"/>
  <c r="E16" i="3"/>
  <c r="H16" i="3" s="1"/>
  <c r="I22" i="1"/>
  <c r="H23" i="3" l="1"/>
  <c r="H15" i="3"/>
  <c r="E34" i="3"/>
  <c r="H34" i="3" s="1"/>
  <c r="E33" i="3"/>
  <c r="H33" i="3" s="1"/>
  <c r="E31" i="3"/>
  <c r="H31" i="3" s="1"/>
  <c r="E32" i="3"/>
  <c r="H32" i="3" s="1"/>
  <c r="E30" i="3"/>
  <c r="H30" i="3" s="1"/>
  <c r="H29" i="3" l="1"/>
  <c r="H37" i="3" s="1"/>
  <c r="H38" i="3" l="1"/>
  <c r="H39" i="3" s="1"/>
  <c r="D42" i="3" l="1"/>
  <c r="D43" i="3"/>
  <c r="H42" i="3"/>
  <c r="F42" i="3" s="1"/>
  <c r="D46" i="3"/>
  <c r="D45" i="3"/>
  <c r="H46" i="3"/>
  <c r="D44" i="3"/>
  <c r="H45" i="3" l="1"/>
  <c r="H48" i="3"/>
  <c r="F48" i="3" s="1"/>
  <c r="D48" i="3"/>
</calcChain>
</file>

<file path=xl/sharedStrings.xml><?xml version="1.0" encoding="utf-8"?>
<sst xmlns="http://schemas.openxmlformats.org/spreadsheetml/2006/main" count="263" uniqueCount="167">
  <si>
    <t>Position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</si>
  <si>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</si>
  <si>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</si>
  <si>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</si>
  <si>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</si>
  <si>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</si>
  <si>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</si>
  <si>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</si>
  <si>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Professional Fees Calculations:</t>
  </si>
  <si>
    <t>Building</t>
  </si>
  <si>
    <t>Size (m²)</t>
  </si>
  <si>
    <t>Days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</si>
  <si>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</si>
  <si>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</si>
  <si>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</si>
  <si>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</si>
  <si>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</si>
  <si>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</si>
  <si>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</si>
  <si>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</si>
  <si>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</si>
  <si>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</si>
  <si>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</si>
  <si>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</si>
  <si>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</si>
  <si>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</si>
  <si>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Project Cost</t>
  </si>
  <si>
    <t>Work Stages</t>
  </si>
  <si>
    <t>% of Fee</t>
  </si>
  <si>
    <t>Professional Fees: (ex. VAT)</t>
  </si>
  <si>
    <t>Municipal Submission</t>
  </si>
  <si>
    <t>Stage 4.1</t>
  </si>
  <si>
    <t>Stage 4.2</t>
  </si>
  <si>
    <t>Secondary fee</t>
  </si>
  <si>
    <t>Construction</t>
  </si>
  <si>
    <t>Additions and alterations Extra| N.A.</t>
  </si>
  <si>
    <t>Total ex. Discount</t>
  </si>
  <si>
    <t>Stages 1 - 6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</si>
  <si>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</si>
  <si>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</si>
  <si>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</si>
  <si>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</si>
  <si>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</si>
  <si>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</si>
  <si>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</si>
  <si>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</si>
  <si>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</si>
  <si>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</si>
  <si>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</si>
  <si>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</si>
  <si>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</si>
  <si>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Total Drawing Days</t>
  </si>
  <si>
    <t>Dewald</t>
  </si>
  <si>
    <t>Project Daily Rate</t>
  </si>
  <si>
    <t>Discount:</t>
  </si>
  <si>
    <t>Total Professional Fees:</t>
  </si>
  <si>
    <t>Phase 1:</t>
  </si>
  <si>
    <t>Complexity</t>
  </si>
  <si>
    <t>(Project cost - E) * D</t>
  </si>
  <si>
    <t>(Project - E) * D</t>
  </si>
  <si>
    <t>Est. Build cost</t>
  </si>
  <si>
    <t>Nr.</t>
  </si>
  <si>
    <t>Total Fees</t>
  </si>
  <si>
    <t>Discount overall</t>
  </si>
  <si>
    <t>Tech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</si>
  <si>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</si>
  <si>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</si>
  <si>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 xml:space="preserve">Total Professional Fees: </t>
  </si>
  <si>
    <t xml:space="preserve">Total incl. Discount (ex.VAT) </t>
  </si>
  <si>
    <t>Gross Salary</t>
  </si>
  <si>
    <t>Final Fees (ex VAT)</t>
  </si>
  <si>
    <t>Fee (ex VAT)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</si>
  <si>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</si>
  <si>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</si>
  <si>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</si>
  <si>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</si>
  <si>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</si>
  <si>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</si>
  <si>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</si>
  <si>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</si>
  <si>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</si>
  <si>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</si>
  <si>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 xml:space="preserve"> </t>
  </si>
  <si>
    <t>Home</t>
  </si>
  <si>
    <t>Low</t>
  </si>
  <si>
    <t>EXPENSES:</t>
  </si>
  <si>
    <t>Description</t>
  </si>
  <si>
    <t>Rent</t>
  </si>
  <si>
    <t>Power</t>
  </si>
  <si>
    <t>Software</t>
  </si>
  <si>
    <t>Insurance</t>
  </si>
  <si>
    <t>Groceries</t>
  </si>
  <si>
    <t>Domestic</t>
  </si>
  <si>
    <t>Petrol</t>
  </si>
  <si>
    <t>Entertainment</t>
  </si>
  <si>
    <t>Charities</t>
  </si>
  <si>
    <t>SACAP</t>
  </si>
  <si>
    <t>Vehicle services</t>
  </si>
  <si>
    <t>Software:</t>
  </si>
  <si>
    <t>Term (months)</t>
  </si>
  <si>
    <t>Rate per Month</t>
  </si>
  <si>
    <t>Vray (chaos)</t>
  </si>
  <si>
    <t>Office 365</t>
  </si>
  <si>
    <t>3Dmax</t>
  </si>
  <si>
    <t>Autocad</t>
  </si>
  <si>
    <t>Subscriptions:</t>
  </si>
  <si>
    <t>Subscription Total</t>
  </si>
  <si>
    <t>Total Expenses:</t>
  </si>
  <si>
    <t>Johan</t>
  </si>
  <si>
    <t>Tyers D x 4 (2 Year)</t>
  </si>
  <si>
    <t>Tyres H x 4 (2 Year)</t>
  </si>
  <si>
    <t>Municipal Submission - Admin</t>
  </si>
  <si>
    <t>Costing extra's</t>
  </si>
  <si>
    <t>Travel (KM)</t>
  </si>
  <si>
    <t>Design Layout</t>
  </si>
  <si>
    <t>3D Design</t>
  </si>
  <si>
    <t>Phase 3:</t>
  </si>
  <si>
    <t>Phase 2:</t>
  </si>
  <si>
    <t>Travel (Time)</t>
  </si>
  <si>
    <t>Required Daily Rate</t>
  </si>
  <si>
    <t>Measure &amp; draw ex. Buildings</t>
  </si>
  <si>
    <t>Draw existing (elevations)</t>
  </si>
  <si>
    <t>Municipal Submission (New Units)</t>
  </si>
  <si>
    <t>Municipal Submission (Alteration house)</t>
  </si>
  <si>
    <t>Municipal Submission (Exisintg outbuildings)</t>
  </si>
  <si>
    <t>Hannes</t>
  </si>
  <si>
    <t>Employees:</t>
  </si>
  <si>
    <t>Directors:</t>
  </si>
  <si>
    <t>Photoshop</t>
  </si>
  <si>
    <t>Qty</t>
  </si>
  <si>
    <t>Contingency</t>
  </si>
  <si>
    <t>Salary Growth</t>
  </si>
  <si>
    <t>Business Growth</t>
  </si>
  <si>
    <t>Sub-total:</t>
  </si>
  <si>
    <t>Ratio Contributions on Expenses</t>
  </si>
  <si>
    <t>Monthly Expenses</t>
  </si>
  <si>
    <t>Targets:</t>
  </si>
  <si>
    <t>Hannes/Dewald</t>
  </si>
  <si>
    <t>Daily Rate</t>
  </si>
  <si>
    <t>Business Profits:</t>
  </si>
  <si>
    <t>Salaries:</t>
  </si>
  <si>
    <t>Office Expenses:</t>
  </si>
  <si>
    <r>
      <t xml:space="preserve">TOTAL </t>
    </r>
    <r>
      <rPr>
        <sz val="16"/>
        <color theme="1"/>
        <rFont val="Century Gothic"/>
        <family val="2"/>
      </rPr>
      <t>OVERHEADS:</t>
    </r>
  </si>
  <si>
    <t>Total Overheads:</t>
  </si>
  <si>
    <t>Ratio</t>
  </si>
  <si>
    <t>Salaries</t>
  </si>
  <si>
    <t>Office Expenses</t>
  </si>
  <si>
    <t>Business Tax</t>
  </si>
  <si>
    <t>Retained Profit</t>
  </si>
  <si>
    <t>%</t>
  </si>
  <si>
    <t>Invoice allocation</t>
  </si>
  <si>
    <t>SACAP Total:</t>
  </si>
  <si>
    <t>Hourly Rate:</t>
  </si>
  <si>
    <t>Current Hourly Rate:</t>
  </si>
  <si>
    <t>SACAP:</t>
  </si>
  <si>
    <t>&gt;</t>
  </si>
  <si>
    <t>Flights</t>
  </si>
  <si>
    <t>Car Hire</t>
  </si>
  <si>
    <t>Accomodation</t>
  </si>
  <si>
    <t>Editing</t>
  </si>
  <si>
    <t>Standard Render price</t>
  </si>
  <si>
    <t>per render</t>
  </si>
  <si>
    <t>renders for project</t>
  </si>
  <si>
    <r>
      <t xml:space="preserve">Municipal Submission </t>
    </r>
    <r>
      <rPr>
        <i/>
        <sz val="12"/>
        <color theme="1"/>
        <rFont val="Century Gothic"/>
        <family val="2"/>
      </rPr>
      <t>(Additions</t>
    </r>
    <r>
      <rPr>
        <sz val="12"/>
        <color theme="1"/>
        <rFont val="Century Gothic"/>
        <family val="2"/>
      </rPr>
      <t>)</t>
    </r>
  </si>
  <si>
    <t>3d Design Model</t>
  </si>
  <si>
    <t>Photo realistic Rendering</t>
  </si>
  <si>
    <t>Draw existing (3d)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</si>
</sst>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R&quot;#,##0;[Red]\-&quot;R&quot;#,##0"/>
    <numFmt numFmtId="44" formatCode="_-&quot;R&quot;* #,##0.00_-;\-&quot;R&quot;* #,##0.00_-;_-&quot;R&quot;* &quot;-&quot;??_-;_-@_-"/>
    <numFmt numFmtId="164" formatCode="&quot;R&quot;#,##0.00"/>
    <numFmt numFmtId="165" formatCode="[$R-1C09]\ #,##0"/>
    <numFmt numFmtId="166" formatCode="[$R-1C09]#,##0.00"/>
    <numFmt numFmtId="167" formatCode="0.0%"/>
    <numFmt numFmtId="168" formatCode="General\ &quot;Visits&quot;"/>
    <numFmt numFmtId="169" formatCode="[$R-1C09]\ #,##0.00"/>
  </numFmts>
  <fonts count="3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sz val="8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9C0006"/>
      <name val="Century Gothic"/>
      <family val="2"/>
    </font>
    <font>
      <sz val="11"/>
      <name val="Century Gothic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7CE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8CBAD"/>
        <bgColor indexed="64"/>
      </patternFill>
    </fill>
  </fills>
  <borders count="51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  <xf numFmtId="0" fontId="24" fillId="10" borderId="0" applyNumberFormat="0" applyBorder="0" applyAlignment="0" applyProtection="0"/>
  </cellStyleXfs>
  <cellXfs count="34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5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13" fillId="2" borderId="16" xfId="1" applyFont="1" applyBorder="1"/>
    <xf numFmtId="164" fontId="13" fillId="2" borderId="17" xfId="1" applyNumberFormat="1" applyFont="1" applyBorder="1"/>
    <xf numFmtId="0" fontId="4" fillId="0" borderId="26" xfId="0" applyFont="1" applyBorder="1"/>
    <xf numFmtId="164" fontId="4" fillId="0" borderId="27" xfId="0" applyNumberFormat="1" applyFont="1" applyBorder="1"/>
    <xf numFmtId="0" fontId="4" fillId="0" borderId="29" xfId="0" applyFont="1" applyBorder="1"/>
    <xf numFmtId="164" fontId="4" fillId="0" borderId="20" xfId="0" applyNumberFormat="1" applyFont="1" applyBorder="1"/>
    <xf numFmtId="0" fontId="4" fillId="0" borderId="31" xfId="0" applyFont="1" applyBorder="1"/>
    <xf numFmtId="0" fontId="4" fillId="0" borderId="25" xfId="0" applyFont="1" applyBorder="1"/>
    <xf numFmtId="164" fontId="8" fillId="0" borderId="2" xfId="0" applyNumberFormat="1" applyFont="1" applyBorder="1"/>
    <xf numFmtId="0" fontId="4" fillId="0" borderId="24" xfId="0" applyFont="1" applyBorder="1"/>
    <xf numFmtId="165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1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6" fontId="4" fillId="0" borderId="0" xfId="0" applyNumberFormat="1" applyFont="1"/>
    <xf numFmtId="166" fontId="0" fillId="0" borderId="14" xfId="0" applyNumberFormat="1" applyBorder="1"/>
    <xf numFmtId="0" fontId="15" fillId="0" borderId="0" xfId="0" applyFont="1"/>
    <xf numFmtId="0" fontId="4" fillId="6" borderId="12" xfId="0" applyFont="1" applyFill="1" applyBorder="1"/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0" borderId="33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164" fontId="0" fillId="0" borderId="0" xfId="0" applyNumberFormat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7" fontId="0" fillId="0" borderId="0" xfId="3" applyNumberFormat="1" applyFont="1"/>
    <xf numFmtId="9" fontId="0" fillId="0" borderId="0" xfId="0" applyNumberFormat="1"/>
    <xf numFmtId="0" fontId="0" fillId="0" borderId="9" xfId="0" applyBorder="1"/>
    <xf numFmtId="164" fontId="4" fillId="0" borderId="0" xfId="0" applyNumberFormat="1" applyFont="1" applyAlignment="1">
      <alignment horizontal="right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33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164" fontId="4" fillId="0" borderId="35" xfId="0" applyNumberFormat="1" applyFont="1" applyBorder="1" applyAlignment="1">
      <alignment horizontal="center" vertical="center"/>
    </xf>
    <xf numFmtId="164" fontId="9" fillId="4" borderId="21" xfId="0" applyNumberFormat="1" applyFont="1" applyFill="1" applyBorder="1" applyAlignment="1">
      <alignment horizontal="center" vertical="center"/>
    </xf>
    <xf numFmtId="164" fontId="9" fillId="4" borderId="37" xfId="0" applyNumberFormat="1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44" fontId="0" fillId="0" borderId="0" xfId="0" applyNumberFormat="1"/>
    <xf numFmtId="164" fontId="14" fillId="0" borderId="0" xfId="0" applyNumberFormat="1" applyFont="1" applyAlignment="1">
      <alignment horizontal="center"/>
    </xf>
    <xf numFmtId="165" fontId="0" fillId="0" borderId="14" xfId="0" applyNumberFormat="1" applyBorder="1" applyAlignment="1">
      <alignment horizontal="center"/>
    </xf>
    <xf numFmtId="0" fontId="4" fillId="0" borderId="32" xfId="0" applyFont="1" applyBorder="1"/>
    <xf numFmtId="164" fontId="4" fillId="0" borderId="15" xfId="0" applyNumberFormat="1" applyFont="1" applyBorder="1"/>
    <xf numFmtId="10" fontId="4" fillId="0" borderId="34" xfId="3" applyNumberFormat="1" applyFont="1" applyBorder="1"/>
    <xf numFmtId="0" fontId="4" fillId="0" borderId="35" xfId="0" applyFont="1" applyBorder="1"/>
    <xf numFmtId="0" fontId="4" fillId="0" borderId="36" xfId="0" applyFont="1" applyBorder="1"/>
    <xf numFmtId="0" fontId="4" fillId="0" borderId="21" xfId="0" applyFont="1" applyBorder="1"/>
    <xf numFmtId="164" fontId="4" fillId="0" borderId="37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22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4" borderId="0" xfId="0" applyFont="1" applyFill="1"/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32" xfId="0" applyNumberFormat="1" applyFon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164" fontId="9" fillId="4" borderId="36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8" fontId="0" fillId="0" borderId="0" xfId="0" applyNumberFormat="1"/>
    <xf numFmtId="44" fontId="4" fillId="0" borderId="22" xfId="0" applyNumberFormat="1" applyFont="1" applyBorder="1"/>
    <xf numFmtId="44" fontId="4" fillId="0" borderId="0" xfId="0" applyNumberFormat="1" applyFont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44" fontId="4" fillId="0" borderId="34" xfId="0" applyNumberFormat="1" applyFont="1" applyBorder="1"/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left"/>
    </xf>
    <xf numFmtId="0" fontId="4" fillId="0" borderId="38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4" fillId="0" borderId="42" xfId="0" applyFont="1" applyBorder="1"/>
    <xf numFmtId="0" fontId="4" fillId="0" borderId="40" xfId="0" applyFont="1" applyBorder="1"/>
    <xf numFmtId="0" fontId="4" fillId="0" borderId="42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37" xfId="0" applyFont="1" applyBorder="1"/>
    <xf numFmtId="0" fontId="4" fillId="0" borderId="42" xfId="0" applyFont="1" applyBorder="1" applyAlignment="1">
      <alignment horizontal="right"/>
    </xf>
    <xf numFmtId="0" fontId="4" fillId="0" borderId="22" xfId="0" applyFont="1" applyBorder="1"/>
    <xf numFmtId="44" fontId="4" fillId="0" borderId="35" xfId="0" applyNumberFormat="1" applyFont="1" applyBorder="1"/>
    <xf numFmtId="44" fontId="4" fillId="0" borderId="15" xfId="0" applyNumberFormat="1" applyFont="1" applyBorder="1"/>
    <xf numFmtId="169" fontId="0" fillId="0" borderId="14" xfId="0" applyNumberFormat="1" applyBorder="1"/>
    <xf numFmtId="0" fontId="3" fillId="0" borderId="0" xfId="0" applyFont="1" applyAlignment="1">
      <alignment horizontal="center" wrapText="1"/>
    </xf>
    <xf numFmtId="0" fontId="22" fillId="0" borderId="0" xfId="0" applyFont="1" applyAlignment="1">
      <alignment horizontal="center" vertical="center"/>
    </xf>
    <xf numFmtId="9" fontId="22" fillId="0" borderId="0" xfId="0" applyNumberFormat="1" applyFont="1" applyAlignment="1">
      <alignment horizontal="center" vertical="center"/>
    </xf>
    <xf numFmtId="164" fontId="8" fillId="0" borderId="0" xfId="0" applyNumberFormat="1" applyFont="1"/>
    <xf numFmtId="0" fontId="4" fillId="6" borderId="11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44" fontId="3" fillId="0" borderId="0" xfId="0" applyNumberFormat="1" applyFont="1" applyAlignment="1">
      <alignment horizontal="center" vertic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167" fontId="4" fillId="0" borderId="0" xfId="3" applyNumberFormat="1" applyFont="1" applyBorder="1"/>
    <xf numFmtId="9" fontId="4" fillId="0" borderId="4" xfId="0" applyNumberFormat="1" applyFont="1" applyBorder="1"/>
    <xf numFmtId="0" fontId="4" fillId="0" borderId="1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44" fontId="4" fillId="0" borderId="5" xfId="0" applyNumberFormat="1" applyFont="1" applyBorder="1"/>
    <xf numFmtId="0" fontId="4" fillId="0" borderId="6" xfId="0" applyFont="1" applyBorder="1" applyAlignment="1">
      <alignment horizontal="center" vertical="center"/>
    </xf>
    <xf numFmtId="44" fontId="4" fillId="0" borderId="7" xfId="0" applyNumberFormat="1" applyFont="1" applyBorder="1"/>
    <xf numFmtId="9" fontId="4" fillId="0" borderId="0" xfId="0" applyNumberFormat="1" applyFont="1"/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44" fontId="4" fillId="0" borderId="9" xfId="0" applyNumberFormat="1" applyFont="1" applyBorder="1"/>
    <xf numFmtId="44" fontId="4" fillId="0" borderId="10" xfId="0" applyNumberFormat="1" applyFont="1" applyBorder="1"/>
    <xf numFmtId="0" fontId="4" fillId="0" borderId="45" xfId="0" applyFont="1" applyBorder="1"/>
    <xf numFmtId="167" fontId="4" fillId="0" borderId="9" xfId="3" applyNumberFormat="1" applyFont="1" applyBorder="1"/>
    <xf numFmtId="0" fontId="4" fillId="0" borderId="3" xfId="0" applyFont="1" applyBorder="1" applyAlignment="1">
      <alignment horizontal="center"/>
    </xf>
    <xf numFmtId="0" fontId="15" fillId="0" borderId="4" xfId="0" applyFont="1" applyBorder="1"/>
    <xf numFmtId="167" fontId="4" fillId="0" borderId="12" xfId="3" applyNumberFormat="1" applyFont="1" applyBorder="1"/>
    <xf numFmtId="44" fontId="4" fillId="0" borderId="13" xfId="0" applyNumberFormat="1" applyFont="1" applyBorder="1"/>
    <xf numFmtId="0" fontId="15" fillId="0" borderId="9" xfId="0" applyFont="1" applyBorder="1"/>
    <xf numFmtId="44" fontId="15" fillId="0" borderId="9" xfId="0" applyNumberFormat="1" applyFont="1" applyBorder="1"/>
    <xf numFmtId="0" fontId="25" fillId="10" borderId="11" xfId="4" applyFont="1" applyBorder="1" applyAlignment="1">
      <alignment horizontal="center" vertical="center"/>
    </xf>
    <xf numFmtId="0" fontId="25" fillId="10" borderId="12" xfId="4" applyFont="1" applyBorder="1" applyAlignment="1">
      <alignment horizontal="left"/>
    </xf>
    <xf numFmtId="0" fontId="25" fillId="10" borderId="12" xfId="4" applyFont="1" applyBorder="1"/>
    <xf numFmtId="44" fontId="25" fillId="10" borderId="13" xfId="4" applyNumberFormat="1" applyFont="1" applyBorder="1"/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0" xfId="0" applyFont="1" applyAlignment="1">
      <alignment vertical="top"/>
    </xf>
    <xf numFmtId="0" fontId="3" fillId="0" borderId="9" xfId="0" applyFont="1" applyBorder="1"/>
    <xf numFmtId="10" fontId="3" fillId="0" borderId="0" xfId="0" applyNumberFormat="1" applyFont="1" applyAlignment="1">
      <alignment horizontal="center"/>
    </xf>
    <xf numFmtId="10" fontId="3" fillId="0" borderId="9" xfId="0" applyNumberFormat="1" applyFont="1" applyBorder="1" applyAlignment="1">
      <alignment horizontal="center"/>
    </xf>
    <xf numFmtId="9" fontId="3" fillId="0" borderId="0" xfId="0" applyNumberFormat="1" applyFont="1" applyAlignment="1">
      <alignment horizontal="center" vertical="center"/>
    </xf>
    <xf numFmtId="9" fontId="3" fillId="0" borderId="9" xfId="0" applyNumberFormat="1" applyFont="1" applyBorder="1" applyAlignment="1">
      <alignment horizontal="center" vertical="center"/>
    </xf>
    <xf numFmtId="0" fontId="3" fillId="0" borderId="4" xfId="0" applyFont="1" applyBorder="1"/>
    <xf numFmtId="44" fontId="3" fillId="5" borderId="0" xfId="0" applyNumberFormat="1" applyFont="1" applyFill="1"/>
    <xf numFmtId="44" fontId="3" fillId="5" borderId="9" xfId="0" applyNumberFormat="1" applyFont="1" applyFill="1" applyBorder="1"/>
    <xf numFmtId="44" fontId="3" fillId="6" borderId="0" xfId="0" applyNumberFormat="1" applyFont="1" applyFill="1"/>
    <xf numFmtId="44" fontId="3" fillId="6" borderId="0" xfId="0" applyNumberFormat="1" applyFont="1" applyFill="1" applyAlignment="1">
      <alignment vertical="center"/>
    </xf>
    <xf numFmtId="44" fontId="3" fillId="6" borderId="9" xfId="0" applyNumberFormat="1" applyFont="1" applyFill="1" applyBorder="1" applyAlignment="1">
      <alignment vertical="center"/>
    </xf>
    <xf numFmtId="0" fontId="5" fillId="0" borderId="13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/>
    <xf numFmtId="0" fontId="4" fillId="0" borderId="12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0" fillId="0" borderId="0" xfId="0" applyAlignment="1">
      <alignment vertical="center"/>
    </xf>
    <xf numFmtId="2" fontId="16" fillId="0" borderId="4" xfId="0" applyNumberFormat="1" applyFont="1" applyBorder="1" applyAlignment="1">
      <alignment horizontal="right"/>
    </xf>
    <xf numFmtId="44" fontId="4" fillId="0" borderId="4" xfId="0" applyNumberFormat="1" applyFont="1" applyBorder="1" applyAlignment="1">
      <alignment horizontal="center"/>
    </xf>
    <xf numFmtId="44" fontId="0" fillId="6" borderId="12" xfId="0" applyNumberFormat="1" applyFill="1" applyBorder="1"/>
    <xf numFmtId="44" fontId="25" fillId="10" borderId="49" xfId="4" applyNumberFormat="1" applyFont="1" applyBorder="1" applyAlignment="1"/>
    <xf numFmtId="44" fontId="25" fillId="10" borderId="50" xfId="4" applyNumberFormat="1" applyFont="1" applyBorder="1" applyAlignment="1"/>
    <xf numFmtId="44" fontId="4" fillId="5" borderId="49" xfId="0" applyNumberFormat="1" applyFont="1" applyFill="1" applyBorder="1" applyAlignment="1">
      <alignment vertical="center"/>
    </xf>
    <xf numFmtId="44" fontId="4" fillId="5" borderId="50" xfId="0" applyNumberFormat="1" applyFont="1" applyFill="1" applyBorder="1" applyAlignment="1">
      <alignment vertical="center"/>
    </xf>
    <xf numFmtId="44" fontId="4" fillId="0" borderId="2" xfId="0" applyNumberFormat="1" applyFont="1" applyBorder="1"/>
    <xf numFmtId="44" fontId="25" fillId="10" borderId="23" xfId="4" applyNumberFormat="1" applyFont="1" applyBorder="1" applyAlignment="1"/>
    <xf numFmtId="0" fontId="0" fillId="0" borderId="11" xfId="0" applyBorder="1"/>
    <xf numFmtId="0" fontId="4" fillId="0" borderId="44" xfId="0" applyFont="1" applyBorder="1" applyAlignment="1">
      <alignment horizontal="center" vertical="center"/>
    </xf>
    <xf numFmtId="44" fontId="4" fillId="0" borderId="45" xfId="0" applyNumberFormat="1" applyFont="1" applyBorder="1"/>
    <xf numFmtId="0" fontId="4" fillId="0" borderId="46" xfId="0" applyFont="1" applyBorder="1"/>
    <xf numFmtId="0" fontId="3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7" fillId="0" borderId="12" xfId="0" applyFont="1" applyBorder="1"/>
    <xf numFmtId="0" fontId="21" fillId="0" borderId="4" xfId="0" applyFont="1" applyBorder="1"/>
    <xf numFmtId="0" fontId="28" fillId="0" borderId="4" xfId="0" applyFont="1" applyBorder="1"/>
    <xf numFmtId="9" fontId="21" fillId="0" borderId="4" xfId="0" applyNumberFormat="1" applyFont="1" applyBorder="1" applyAlignment="1">
      <alignment horizontal="center" vertical="center"/>
    </xf>
    <xf numFmtId="9" fontId="21" fillId="0" borderId="4" xfId="3" applyFont="1" applyFill="1" applyBorder="1"/>
    <xf numFmtId="44" fontId="21" fillId="0" borderId="28" xfId="0" applyNumberFormat="1" applyFont="1" applyBorder="1"/>
    <xf numFmtId="0" fontId="21" fillId="0" borderId="9" xfId="0" applyFont="1" applyBorder="1"/>
    <xf numFmtId="9" fontId="21" fillId="0" borderId="9" xfId="3" applyFont="1" applyFill="1" applyBorder="1"/>
    <xf numFmtId="44" fontId="21" fillId="0" borderId="23" xfId="4" applyNumberFormat="1" applyFont="1" applyFill="1" applyBorder="1" applyAlignment="1"/>
    <xf numFmtId="9" fontId="4" fillId="7" borderId="3" xfId="3" applyFont="1" applyFill="1" applyBorder="1" applyAlignment="1">
      <alignment horizontal="left" vertical="center"/>
    </xf>
    <xf numFmtId="9" fontId="4" fillId="7" borderId="6" xfId="3" applyFont="1" applyFill="1" applyBorder="1" applyAlignment="1">
      <alignment horizontal="left" vertical="center"/>
    </xf>
    <xf numFmtId="0" fontId="4" fillId="7" borderId="6" xfId="0" applyFont="1" applyFill="1" applyBorder="1" applyAlignment="1">
      <alignment horizontal="left" vertical="center"/>
    </xf>
    <xf numFmtId="0" fontId="4" fillId="7" borderId="8" xfId="0" applyFont="1" applyFill="1" applyBorder="1" applyAlignment="1">
      <alignment horizontal="left" vertical="center"/>
    </xf>
    <xf numFmtId="0" fontId="4" fillId="7" borderId="11" xfId="0" applyFont="1" applyFill="1" applyBorder="1"/>
    <xf numFmtId="0" fontId="0" fillId="7" borderId="12" xfId="0" applyFill="1" applyBorder="1"/>
    <xf numFmtId="44" fontId="4" fillId="4" borderId="2" xfId="0" applyNumberFormat="1" applyFont="1" applyFill="1" applyBorder="1"/>
    <xf numFmtId="0" fontId="4" fillId="0" borderId="1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9" fontId="3" fillId="7" borderId="30" xfId="3" applyFont="1" applyFill="1" applyBorder="1" applyAlignment="1">
      <alignment horizontal="center" vertical="center"/>
    </xf>
    <xf numFmtId="44" fontId="4" fillId="0" borderId="7" xfId="0" applyNumberFormat="1" applyFont="1" applyBorder="1" applyAlignment="1">
      <alignment vertical="center"/>
    </xf>
    <xf numFmtId="9" fontId="3" fillId="7" borderId="23" xfId="3" applyFont="1" applyFill="1" applyBorder="1" applyAlignment="1">
      <alignment horizontal="center" vertical="center"/>
    </xf>
    <xf numFmtId="44" fontId="4" fillId="0" borderId="10" xfId="0" applyNumberFormat="1" applyFont="1" applyBorder="1" applyAlignment="1">
      <alignment vertical="center"/>
    </xf>
    <xf numFmtId="0" fontId="3" fillId="7" borderId="30" xfId="3" applyNumberFormat="1" applyFont="1" applyFill="1" applyBorder="1" applyAlignment="1">
      <alignment horizontal="center" vertical="center"/>
    </xf>
    <xf numFmtId="0" fontId="3" fillId="7" borderId="23" xfId="3" applyNumberFormat="1" applyFont="1" applyFill="1" applyBorder="1" applyAlignment="1">
      <alignment horizontal="center" vertical="center"/>
    </xf>
    <xf numFmtId="0" fontId="3" fillId="12" borderId="2" xfId="3" applyNumberFormat="1" applyFont="1" applyFill="1" applyBorder="1" applyAlignment="1">
      <alignment horizontal="center" vertical="center"/>
    </xf>
    <xf numFmtId="9" fontId="3" fillId="12" borderId="2" xfId="3" applyFont="1" applyFill="1" applyBorder="1" applyAlignment="1">
      <alignment horizontal="center" vertical="center"/>
    </xf>
    <xf numFmtId="44" fontId="4" fillId="12" borderId="13" xfId="0" applyNumberFormat="1" applyFont="1" applyFill="1" applyBorder="1" applyAlignment="1">
      <alignment vertical="center"/>
    </xf>
    <xf numFmtId="44" fontId="4" fillId="5" borderId="49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2" fontId="4" fillId="0" borderId="5" xfId="0" applyNumberFormat="1" applyFont="1" applyBorder="1" applyAlignment="1">
      <alignment horizontal="center" vertical="center"/>
    </xf>
    <xf numFmtId="44" fontId="3" fillId="0" borderId="13" xfId="0" applyNumberFormat="1" applyFont="1" applyBorder="1" applyAlignment="1">
      <alignment horizontal="center" vertical="center"/>
    </xf>
    <xf numFmtId="44" fontId="8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44" fontId="4" fillId="0" borderId="7" xfId="0" applyNumberFormat="1" applyFont="1" applyBorder="1" applyAlignment="1">
      <alignment horizontal="center" vertical="center"/>
    </xf>
    <xf numFmtId="44" fontId="4" fillId="0" borderId="10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left"/>
    </xf>
    <xf numFmtId="0" fontId="9" fillId="0" borderId="10" xfId="0" applyFont="1" applyBorder="1" applyAlignment="1">
      <alignment horizontal="right"/>
    </xf>
    <xf numFmtId="44" fontId="9" fillId="4" borderId="10" xfId="0" applyNumberFormat="1" applyFont="1" applyFill="1" applyBorder="1" applyAlignment="1">
      <alignment horizontal="center"/>
    </xf>
    <xf numFmtId="0" fontId="3" fillId="0" borderId="9" xfId="0" applyFont="1" applyBorder="1" applyAlignment="1">
      <alignment horizontal="left" vertical="center"/>
    </xf>
    <xf numFmtId="10" fontId="3" fillId="0" borderId="9" xfId="0" applyNumberFormat="1" applyFont="1" applyBorder="1" applyAlignment="1">
      <alignment vertical="center"/>
    </xf>
    <xf numFmtId="44" fontId="3" fillId="0" borderId="9" xfId="0" applyNumberFormat="1" applyFont="1" applyBorder="1" applyAlignment="1">
      <alignment horizontal="center" vertical="center"/>
    </xf>
    <xf numFmtId="2" fontId="16" fillId="0" borderId="9" xfId="0" applyNumberFormat="1" applyFont="1" applyBorder="1" applyAlignment="1">
      <alignment horizontal="right"/>
    </xf>
    <xf numFmtId="44" fontId="0" fillId="0" borderId="9" xfId="0" applyNumberFormat="1" applyBorder="1"/>
    <xf numFmtId="2" fontId="4" fillId="6" borderId="12" xfId="0" applyNumberFormat="1" applyFont="1" applyFill="1" applyBorder="1" applyAlignment="1">
      <alignment horizontal="center" vertical="center"/>
    </xf>
    <xf numFmtId="44" fontId="4" fillId="6" borderId="12" xfId="0" applyNumberFormat="1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44" fontId="8" fillId="6" borderId="13" xfId="0" applyNumberFormat="1" applyFont="1" applyFill="1" applyBorder="1" applyAlignment="1">
      <alignment horizontal="center"/>
    </xf>
    <xf numFmtId="2" fontId="8" fillId="6" borderId="2" xfId="0" applyNumberFormat="1" applyFont="1" applyFill="1" applyBorder="1" applyAlignment="1">
      <alignment horizontal="center" vertical="center"/>
    </xf>
    <xf numFmtId="44" fontId="25" fillId="10" borderId="28" xfId="4" applyNumberFormat="1" applyFont="1" applyBorder="1" applyAlignment="1"/>
    <xf numFmtId="44" fontId="25" fillId="10" borderId="30" xfId="4" applyNumberFormat="1" applyFont="1" applyBorder="1" applyAlignment="1"/>
    <xf numFmtId="0" fontId="4" fillId="0" borderId="38" xfId="0" applyFont="1" applyBorder="1" applyAlignment="1">
      <alignment horizontal="left"/>
    </xf>
    <xf numFmtId="0" fontId="4" fillId="0" borderId="38" xfId="0" applyFont="1" applyBorder="1" applyAlignment="1">
      <alignment vertical="top"/>
    </xf>
    <xf numFmtId="0" fontId="4" fillId="0" borderId="38" xfId="0" applyFont="1" applyBorder="1" applyAlignment="1">
      <alignment horizontal="center" vertical="top"/>
    </xf>
    <xf numFmtId="44" fontId="25" fillId="10" borderId="41" xfId="4" applyNumberFormat="1" applyFont="1" applyBorder="1" applyAlignment="1"/>
    <xf numFmtId="44" fontId="21" fillId="0" borderId="41" xfId="4" applyNumberFormat="1" applyFont="1" applyFill="1" applyBorder="1" applyAlignment="1"/>
    <xf numFmtId="0" fontId="12" fillId="0" borderId="14" xfId="0" applyFont="1" applyBorder="1" applyAlignment="1">
      <alignment vertical="center"/>
    </xf>
    <xf numFmtId="0" fontId="10" fillId="0" borderId="21" xfId="0" applyFont="1" applyBorder="1"/>
    <xf numFmtId="0" fontId="12" fillId="0" borderId="40" xfId="0" applyFont="1" applyBorder="1" applyAlignment="1">
      <alignment horizontal="left" vertical="center"/>
    </xf>
    <xf numFmtId="164" fontId="4" fillId="0" borderId="13" xfId="0" applyNumberFormat="1" applyFont="1" applyBorder="1"/>
    <xf numFmtId="0" fontId="4" fillId="4" borderId="0" xfId="0" applyFont="1" applyFill="1" applyAlignment="1">
      <alignment horizontal="center"/>
    </xf>
    <xf numFmtId="0" fontId="5" fillId="0" borderId="1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21" fillId="0" borderId="4" xfId="0" applyFont="1" applyBorder="1" applyAlignment="1">
      <alignment horizontal="left"/>
    </xf>
    <xf numFmtId="44" fontId="26" fillId="5" borderId="47" xfId="4" applyNumberFormat="1" applyFont="1" applyFill="1" applyBorder="1" applyAlignment="1">
      <alignment horizontal="center"/>
    </xf>
    <xf numFmtId="44" fontId="26" fillId="5" borderId="48" xfId="4" applyNumberFormat="1" applyFont="1" applyFill="1" applyBorder="1" applyAlignment="1">
      <alignment horizontal="center"/>
    </xf>
    <xf numFmtId="44" fontId="26" fillId="5" borderId="33" xfId="4" applyNumberFormat="1" applyFont="1" applyFill="1" applyBorder="1" applyAlignment="1">
      <alignment horizontal="center"/>
    </xf>
    <xf numFmtId="44" fontId="26" fillId="5" borderId="35" xfId="4" applyNumberFormat="1" applyFont="1" applyFill="1" applyBorder="1" applyAlignment="1">
      <alignment horizontal="center"/>
    </xf>
    <xf numFmtId="0" fontId="4" fillId="0" borderId="39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11" borderId="11" xfId="0" applyFont="1" applyFill="1" applyBorder="1" applyAlignment="1">
      <alignment horizontal="center" vertical="top"/>
    </xf>
    <xf numFmtId="0" fontId="7" fillId="11" borderId="12" xfId="0" applyFont="1" applyFill="1" applyBorder="1" applyAlignment="1">
      <alignment horizontal="center" vertical="top"/>
    </xf>
    <xf numFmtId="0" fontId="7" fillId="11" borderId="13" xfId="0" applyFont="1" applyFill="1" applyBorder="1" applyAlignment="1">
      <alignment horizontal="center" vertical="top"/>
    </xf>
    <xf numFmtId="0" fontId="4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44" fontId="3" fillId="5" borderId="0" xfId="0" applyNumberFormat="1" applyFont="1" applyFill="1" applyAlignment="1">
      <alignment horizontal="center"/>
    </xf>
    <xf numFmtId="44" fontId="3" fillId="5" borderId="9" xfId="0" applyNumberFormat="1" applyFont="1" applyFill="1" applyBorder="1" applyAlignment="1">
      <alignment horizontal="center"/>
    </xf>
    <xf numFmtId="0" fontId="4" fillId="0" borderId="12" xfId="0" applyFont="1" applyBorder="1" applyAlignment="1">
      <alignment horizontal="left"/>
    </xf>
    <xf numFmtId="44" fontId="21" fillId="0" borderId="39" xfId="4" applyNumberFormat="1" applyFont="1" applyFill="1" applyBorder="1" applyAlignment="1">
      <alignment horizontal="center"/>
    </xf>
    <xf numFmtId="44" fontId="21" fillId="0" borderId="43" xfId="4" applyNumberFormat="1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0" xfId="0"/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6" borderId="11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18" fillId="9" borderId="11" xfId="2" applyFont="1" applyFill="1" applyBorder="1" applyAlignment="1">
      <alignment horizontal="center" vertical="center"/>
    </xf>
    <xf numFmtId="0" fontId="18" fillId="9" borderId="12" xfId="2" applyFont="1" applyFill="1" applyBorder="1" applyAlignment="1">
      <alignment horizontal="center" vertical="center"/>
    </xf>
    <xf numFmtId="0" fontId="18" fillId="9" borderId="13" xfId="2" applyFont="1" applyFill="1" applyBorder="1" applyAlignment="1">
      <alignment horizontal="center" vertical="center"/>
    </xf>
    <xf numFmtId="6" fontId="0" fillId="0" borderId="0" xfId="0" applyNumberFormat="1"/>
    <xf numFmtId="0" fontId="0" fillId="0" borderId="0" xfId="0" applyNumberFormat="1"/>
  </cellXfs>
  <cellStyles count="5">
    <cellStyle name="Accent3" xfId="2" builtinId="37"/>
    <cellStyle name="Bad" xfId="4" builtinId="27"/>
    <cellStyle name="Check Cell" xfId="1" builtinId="23"/>
    <cellStyle name="Normal" xfId="0" builtinId="0"/>
    <cellStyle name="Percent" xfId="3" builtinId="5"/>
  </cellStyles>
  <dxfs count="2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F8CBAD"/>
      <color rgb="FFDA8E8E"/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514350</xdr:colOff>
      <xdr:row>0</xdr:row>
      <xdr:rowOff>164246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4246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P55"/>
  <sheetViews>
    <sheetView topLeftCell="A9" workbookViewId="0">
      <selection activeCell="A21" sqref="A21:XFD21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2.7109375" style="1" customWidth="1"/>
    <col min="4" max="4" width="19.42578125" style="1" customWidth="1"/>
    <col min="5" max="5" width="10.140625" style="1" customWidth="1"/>
    <col min="6" max="6" width="9.7109375" style="1" customWidth="1"/>
    <col min="7" max="7" width="11.140625" style="1" customWidth="1"/>
    <col min="8" max="8" width="12.7109375" style="1" customWidth="1"/>
    <col min="9" max="9" width="21.140625" style="1" customWidth="1"/>
    <col min="10" max="10" width="20.85546875" style="1" customWidth="1"/>
    <col min="11" max="11" width="6.5703125" style="1" customWidth="1"/>
    <col min="12" max="12" width="17.5703125" style="1" customWidth="1"/>
    <col min="13" max="13" width="17.5703125" style="1" bestFit="1" customWidth="1"/>
    <col min="14" max="14" width="17.7109375" style="1" bestFit="1" customWidth="1"/>
    <col min="15" max="15" width="17.7109375" style="1" customWidth="1"/>
    <col min="16" max="16" width="19.28515625" style="1" bestFit="1" customWidth="1"/>
    <col min="17" max="17" width="25.42578125" style="1" customWidth="1"/>
    <col min="18" max="16384" width="9.140625" style="1"/>
  </cols>
  <sheetData>
    <row r="1" spans="1:12" x14ac:dyDescent="0.3">
      <c r="A1" s="288"/>
      <c r="B1" s="288"/>
      <c r="C1" s="288"/>
      <c r="D1" s="288"/>
      <c r="E1" s="288"/>
      <c r="F1" s="288"/>
      <c r="G1" s="288"/>
      <c r="H1" s="288"/>
      <c r="I1" s="288"/>
      <c r="J1" s="288"/>
    </row>
    <row r="2" spans="1:12" x14ac:dyDescent="0.3">
      <c r="A2" s="288"/>
      <c r="B2" s="288"/>
      <c r="C2" s="288"/>
      <c r="D2" s="288"/>
      <c r="E2" s="288"/>
      <c r="F2" s="288"/>
      <c r="G2" s="288"/>
      <c r="H2" s="288"/>
      <c r="I2" s="288"/>
      <c r="J2" s="288"/>
    </row>
    <row r="3" spans="1:12" x14ac:dyDescent="0.3">
      <c r="A3" s="288"/>
      <c r="B3" s="288"/>
      <c r="C3" s="288"/>
      <c r="D3" s="288"/>
      <c r="E3" s="288"/>
      <c r="F3" s="288"/>
      <c r="G3" s="288"/>
      <c r="H3" s="288"/>
      <c r="I3" s="288"/>
      <c r="J3" s="288"/>
    </row>
    <row r="4" spans="1:12" x14ac:dyDescent="0.3">
      <c r="A4" s="288"/>
      <c r="B4" s="288"/>
      <c r="C4" s="288"/>
      <c r="D4" s="288"/>
      <c r="E4" s="288"/>
      <c r="F4" s="288"/>
      <c r="G4" s="288"/>
      <c r="H4" s="288"/>
      <c r="I4" s="288"/>
      <c r="J4" s="288"/>
    </row>
    <row r="5" spans="1:12" x14ac:dyDescent="0.3">
      <c r="A5" s="288"/>
      <c r="B5" s="288"/>
      <c r="C5" s="288"/>
      <c r="D5" s="288"/>
      <c r="E5" s="288"/>
      <c r="F5" s="288"/>
      <c r="G5" s="288"/>
      <c r="H5" s="288"/>
      <c r="I5" s="288"/>
      <c r="J5" s="288"/>
    </row>
    <row r="6" spans="1:12" x14ac:dyDescent="0.3">
      <c r="A6" s="288"/>
      <c r="B6" s="288"/>
      <c r="C6" s="288"/>
      <c r="D6" s="288"/>
      <c r="E6" s="288"/>
      <c r="F6" s="288"/>
      <c r="G6" s="288"/>
      <c r="H6" s="288"/>
      <c r="I6" s="288"/>
      <c r="J6" s="288"/>
    </row>
    <row r="7" spans="1:12" x14ac:dyDescent="0.3">
      <c r="A7" s="288"/>
      <c r="B7" s="288"/>
      <c r="C7" s="288"/>
      <c r="D7" s="288"/>
      <c r="E7" s="288"/>
      <c r="F7" s="288"/>
      <c r="G7" s="288"/>
      <c r="H7" s="288"/>
      <c r="I7" s="288"/>
      <c r="J7" s="288"/>
    </row>
    <row r="8" spans="1:12" x14ac:dyDescent="0.3">
      <c r="A8" s="288"/>
      <c r="B8" s="288"/>
      <c r="C8" s="288"/>
      <c r="D8" s="288"/>
      <c r="E8" s="288"/>
      <c r="F8" s="288"/>
      <c r="G8" s="288"/>
      <c r="H8" s="288"/>
      <c r="I8" s="288"/>
      <c r="J8" s="288"/>
    </row>
    <row r="9" spans="1:12" x14ac:dyDescent="0.3">
      <c r="A9" s="288"/>
      <c r="B9" s="288"/>
      <c r="C9" s="288"/>
      <c r="D9" s="288"/>
      <c r="E9" s="288"/>
      <c r="F9" s="288"/>
      <c r="G9" s="288"/>
      <c r="H9" s="288"/>
      <c r="I9" s="288"/>
      <c r="J9" s="288"/>
    </row>
    <row r="10" spans="1:12" x14ac:dyDescent="0.3">
      <c r="A10" s="288"/>
      <c r="B10" s="288"/>
      <c r="C10" s="288"/>
      <c r="D10" s="288"/>
      <c r="E10" s="288"/>
      <c r="F10" s="288"/>
      <c r="G10" s="288"/>
      <c r="H10" s="288"/>
      <c r="I10" s="288"/>
      <c r="J10" s="288"/>
    </row>
    <row r="11" spans="1:12" ht="18" thickBot="1" x14ac:dyDescent="0.35">
      <c r="A11"/>
      <c r="B11"/>
      <c r="C11"/>
      <c r="D11"/>
      <c r="E11"/>
      <c r="F11"/>
      <c r="G11"/>
      <c r="H11"/>
      <c r="I11"/>
    </row>
    <row r="12" spans="1:12" ht="21" thickBot="1" x14ac:dyDescent="0.35">
      <c r="A12" s="304" t="s">
        <v>4</v>
      </c>
      <c r="B12" s="305"/>
      <c r="C12" s="305"/>
      <c r="D12" s="305"/>
      <c r="E12" s="305"/>
      <c r="F12" s="305"/>
      <c r="G12" s="305"/>
      <c r="H12" s="305"/>
      <c r="I12" s="305"/>
      <c r="J12" s="306"/>
      <c r="L12"/>
    </row>
    <row r="13" spans="1:12" ht="18.75" customHeight="1" thickBot="1" x14ac:dyDescent="0.35">
      <c r="A13" s="139" t="s">
        <v>61</v>
      </c>
      <c r="B13" s="279" t="s">
        <v>86</v>
      </c>
      <c r="C13" s="280" t="s">
        <v>0</v>
      </c>
      <c r="D13" s="281" t="s">
        <v>69</v>
      </c>
      <c r="E13" s="298" t="s">
        <v>131</v>
      </c>
      <c r="F13" s="310"/>
      <c r="G13" s="299"/>
      <c r="H13" s="298" t="s">
        <v>132</v>
      </c>
      <c r="I13" s="299"/>
      <c r="J13" s="282" t="s">
        <v>136</v>
      </c>
      <c r="L13"/>
    </row>
    <row r="14" spans="1:12" x14ac:dyDescent="0.3">
      <c r="A14" s="186">
        <v>1</v>
      </c>
      <c r="B14" s="189" t="s">
        <v>125</v>
      </c>
      <c r="C14" s="57" t="s">
        <v>1</v>
      </c>
      <c r="D14" s="198">
        <v>33000</v>
      </c>
      <c r="E14" s="193">
        <v>0.25</v>
      </c>
      <c r="F14" s="311">
        <f>(D14*E14)+D14</f>
        <v>41250</v>
      </c>
      <c r="G14" s="311"/>
      <c r="H14" s="191">
        <v>1.8</v>
      </c>
      <c r="I14" s="196">
        <f>(F14*H14)</f>
        <v>74250</v>
      </c>
      <c r="J14" s="210">
        <f>F14+I14+($J$48/2)</f>
        <v>125148</v>
      </c>
      <c r="L14"/>
    </row>
    <row r="15" spans="1:12" x14ac:dyDescent="0.3">
      <c r="A15" s="186">
        <v>2</v>
      </c>
      <c r="B15" s="189" t="s">
        <v>52</v>
      </c>
      <c r="C15" s="57" t="s">
        <v>1</v>
      </c>
      <c r="D15" s="198">
        <v>33000</v>
      </c>
      <c r="E15" s="193">
        <v>0.25</v>
      </c>
      <c r="F15" s="311">
        <f>(D15*E15)+D15</f>
        <v>41250</v>
      </c>
      <c r="G15" s="311"/>
      <c r="H15" s="191">
        <v>1.8</v>
      </c>
      <c r="I15" s="196">
        <f>(F15*H15)</f>
        <v>74250</v>
      </c>
      <c r="J15" s="210">
        <f>F15+I15+($J$48/2)</f>
        <v>125148</v>
      </c>
      <c r="L15"/>
    </row>
    <row r="16" spans="1:12" x14ac:dyDescent="0.3">
      <c r="A16" s="186">
        <v>3</v>
      </c>
      <c r="B16" s="57" t="s">
        <v>72</v>
      </c>
      <c r="C16" s="57" t="s">
        <v>64</v>
      </c>
      <c r="D16" s="199">
        <v>24000</v>
      </c>
      <c r="E16" s="193">
        <v>0.25</v>
      </c>
      <c r="F16" s="311">
        <f>(D16*E16)+D16</f>
        <v>30000</v>
      </c>
      <c r="G16" s="311"/>
      <c r="H16" s="191">
        <v>1.8</v>
      </c>
      <c r="I16" s="196">
        <f>(F16*H16)</f>
        <v>54000</v>
      </c>
      <c r="J16" s="210">
        <f>F16+I16+J49</f>
        <v>112944</v>
      </c>
    </row>
    <row r="17" spans="1:16" ht="18" thickBot="1" x14ac:dyDescent="0.35">
      <c r="A17" s="187">
        <v>4</v>
      </c>
      <c r="B17" s="190" t="s">
        <v>84</v>
      </c>
      <c r="C17" s="190" t="s">
        <v>64</v>
      </c>
      <c r="D17" s="200">
        <v>15000</v>
      </c>
      <c r="E17" s="194">
        <v>0.25</v>
      </c>
      <c r="F17" s="312">
        <f>(D17*E17)+D17</f>
        <v>18750</v>
      </c>
      <c r="G17" s="312"/>
      <c r="H17" s="192">
        <v>1.8</v>
      </c>
      <c r="I17" s="197">
        <f>(F17*H17)</f>
        <v>33750</v>
      </c>
      <c r="J17" s="211">
        <f>F17+I17+J49</f>
        <v>81444</v>
      </c>
    </row>
    <row r="18" spans="1:16" ht="18" thickBot="1" x14ac:dyDescent="0.35">
      <c r="A18" s="308"/>
      <c r="B18" s="308"/>
      <c r="C18" s="308"/>
      <c r="D18" s="308"/>
      <c r="E18" s="308"/>
      <c r="F18" s="308"/>
      <c r="G18" s="308"/>
      <c r="H18" s="308"/>
      <c r="I18" s="308"/>
    </row>
    <row r="19" spans="1:16" ht="21" thickBot="1" x14ac:dyDescent="0.35">
      <c r="A19" s="304" t="s">
        <v>5</v>
      </c>
      <c r="B19" s="305"/>
      <c r="C19" s="305"/>
      <c r="D19" s="305"/>
      <c r="E19" s="305"/>
      <c r="F19" s="305"/>
      <c r="G19" s="305"/>
      <c r="H19" s="305"/>
      <c r="I19" s="305"/>
      <c r="J19" s="306"/>
      <c r="K19"/>
    </row>
    <row r="20" spans="1:16" ht="18" thickBot="1" x14ac:dyDescent="0.35">
      <c r="A20" s="138" t="s">
        <v>61</v>
      </c>
      <c r="B20" s="279" t="s">
        <v>86</v>
      </c>
      <c r="C20" s="280" t="s">
        <v>0</v>
      </c>
      <c r="D20" s="140" t="s">
        <v>6</v>
      </c>
      <c r="E20" s="300" t="s">
        <v>7</v>
      </c>
      <c r="F20" s="301"/>
      <c r="G20" s="314" t="s">
        <v>138</v>
      </c>
      <c r="H20" s="315"/>
      <c r="I20" s="283" t="s">
        <v>152</v>
      </c>
      <c r="J20" s="282" t="s">
        <v>154</v>
      </c>
      <c r="K20"/>
    </row>
    <row r="21" spans="1:16" x14ac:dyDescent="0.3">
      <c r="A21" s="186">
        <v>1</v>
      </c>
      <c r="B21" s="1" t="s">
        <v>137</v>
      </c>
      <c r="C21" s="195" t="s">
        <v>1</v>
      </c>
      <c r="D21" s="141">
        <v>21</v>
      </c>
      <c r="E21" s="303">
        <v>8</v>
      </c>
      <c r="F21" s="303"/>
      <c r="G21" s="296">
        <f>J14/D21</f>
        <v>5959.4285714285716</v>
      </c>
      <c r="H21" s="297"/>
      <c r="I21" s="250">
        <f>G21/E21</f>
        <v>744.92857142857144</v>
      </c>
      <c r="J21" s="277">
        <v>1420</v>
      </c>
      <c r="K21" s="57"/>
    </row>
    <row r="22" spans="1:16" x14ac:dyDescent="0.3">
      <c r="A22" s="186">
        <v>2</v>
      </c>
      <c r="B22" s="57" t="s">
        <v>72</v>
      </c>
      <c r="C22" s="57" t="s">
        <v>64</v>
      </c>
      <c r="D22" s="141">
        <v>21</v>
      </c>
      <c r="E22" s="303">
        <v>8</v>
      </c>
      <c r="F22" s="303"/>
      <c r="G22" s="296">
        <f>J16/D22</f>
        <v>5378.2857142857147</v>
      </c>
      <c r="H22" s="297"/>
      <c r="I22" s="212">
        <f>G22/E22</f>
        <v>672.28571428571433</v>
      </c>
      <c r="J22" s="278">
        <v>571</v>
      </c>
      <c r="K22" s="57"/>
    </row>
    <row r="23" spans="1:16" ht="18" thickBot="1" x14ac:dyDescent="0.35">
      <c r="A23" s="187">
        <v>3</v>
      </c>
      <c r="B23" s="190" t="s">
        <v>84</v>
      </c>
      <c r="C23" s="190" t="s">
        <v>64</v>
      </c>
      <c r="D23" s="188">
        <v>21</v>
      </c>
      <c r="E23" s="302">
        <v>8</v>
      </c>
      <c r="F23" s="302"/>
      <c r="G23" s="294">
        <f>J17/D23</f>
        <v>3878.2857142857142</v>
      </c>
      <c r="H23" s="295"/>
      <c r="I23" s="213">
        <f>G23/E23</f>
        <v>484.78571428571428</v>
      </c>
      <c r="J23" s="215">
        <v>408</v>
      </c>
      <c r="K23"/>
    </row>
    <row r="24" spans="1:16" ht="18" thickBot="1" x14ac:dyDescent="0.35">
      <c r="A24" s="309"/>
      <c r="B24" s="309"/>
      <c r="C24" s="309"/>
      <c r="D24" s="309"/>
      <c r="E24" s="309"/>
      <c r="F24" s="309"/>
      <c r="G24" s="309"/>
      <c r="H24" s="309"/>
      <c r="I24" s="309"/>
      <c r="J24"/>
      <c r="K24"/>
    </row>
    <row r="25" spans="1:16" ht="21" thickBot="1" x14ac:dyDescent="0.35">
      <c r="A25" s="304" t="s">
        <v>85</v>
      </c>
      <c r="B25" s="305"/>
      <c r="C25" s="305"/>
      <c r="D25" s="305"/>
      <c r="E25" s="305"/>
      <c r="F25" s="305"/>
      <c r="G25" s="305"/>
      <c r="H25" s="305"/>
      <c r="I25" s="305"/>
      <c r="J25" s="306"/>
      <c r="K25"/>
    </row>
    <row r="26" spans="1:16" ht="19.5" thickBot="1" x14ac:dyDescent="0.35">
      <c r="A26" s="202" t="s">
        <v>61</v>
      </c>
      <c r="B26" s="289" t="s">
        <v>86</v>
      </c>
      <c r="C26" s="289"/>
      <c r="D26" s="289"/>
      <c r="E26" s="289"/>
      <c r="F26" s="203"/>
      <c r="G26" s="203"/>
      <c r="H26" s="203"/>
      <c r="I26" s="203"/>
      <c r="J26" s="201" t="s">
        <v>2</v>
      </c>
      <c r="L26" s="143" t="s">
        <v>98</v>
      </c>
      <c r="M26" s="147" t="s">
        <v>99</v>
      </c>
      <c r="N26" s="144" t="s">
        <v>3</v>
      </c>
      <c r="O26" s="144" t="s">
        <v>129</v>
      </c>
      <c r="P26" s="148" t="s">
        <v>100</v>
      </c>
    </row>
    <row r="27" spans="1:16" x14ac:dyDescent="0.3">
      <c r="A27" s="164">
        <v>1</v>
      </c>
      <c r="B27" s="291" t="s">
        <v>87</v>
      </c>
      <c r="C27" s="291"/>
      <c r="D27" s="291"/>
      <c r="E27" s="291"/>
      <c r="F27" s="66"/>
      <c r="G27" s="11"/>
      <c r="H27" s="11"/>
      <c r="I27" s="162"/>
      <c r="J27" s="165">
        <v>11000</v>
      </c>
      <c r="L27" s="95" t="s">
        <v>104</v>
      </c>
      <c r="M27" s="23">
        <v>12</v>
      </c>
      <c r="N27" s="150">
        <f>9000*O27</f>
        <v>36000</v>
      </c>
      <c r="O27" s="23">
        <v>4</v>
      </c>
      <c r="P27" s="137">
        <f>N27/M27</f>
        <v>3000</v>
      </c>
    </row>
    <row r="28" spans="1:16" x14ac:dyDescent="0.3">
      <c r="A28" s="166">
        <v>2</v>
      </c>
      <c r="B28" s="290" t="s">
        <v>88</v>
      </c>
      <c r="C28" s="290"/>
      <c r="D28" s="290"/>
      <c r="E28" s="290"/>
      <c r="J28" s="167">
        <v>2000</v>
      </c>
      <c r="L28" s="37" t="s">
        <v>101</v>
      </c>
      <c r="M28" s="3">
        <v>12</v>
      </c>
      <c r="N28" s="134">
        <v>13200</v>
      </c>
      <c r="O28" s="3">
        <v>1</v>
      </c>
      <c r="P28" s="149">
        <f>N28/M28</f>
        <v>1100</v>
      </c>
    </row>
    <row r="29" spans="1:16" x14ac:dyDescent="0.3">
      <c r="A29" s="166">
        <v>3</v>
      </c>
      <c r="B29" s="290" t="s">
        <v>90</v>
      </c>
      <c r="C29" s="290"/>
      <c r="D29" s="290"/>
      <c r="E29" s="290"/>
      <c r="F29" s="3"/>
      <c r="I29" s="168"/>
      <c r="J29" s="167">
        <v>4500</v>
      </c>
      <c r="L29" s="37" t="s">
        <v>102</v>
      </c>
      <c r="M29" s="3">
        <v>12</v>
      </c>
      <c r="N29" s="134">
        <v>1600</v>
      </c>
      <c r="O29" s="3">
        <v>5</v>
      </c>
      <c r="P29" s="149">
        <f>N29/M29</f>
        <v>133.33333333333334</v>
      </c>
    </row>
    <row r="30" spans="1:16" x14ac:dyDescent="0.3">
      <c r="A30" s="166">
        <v>4</v>
      </c>
      <c r="B30" s="290" t="s">
        <v>91</v>
      </c>
      <c r="C30" s="290"/>
      <c r="D30" s="290"/>
      <c r="E30" s="290"/>
      <c r="F30" s="3"/>
      <c r="I30" s="168"/>
      <c r="J30" s="167">
        <v>1000</v>
      </c>
      <c r="L30" s="37" t="s">
        <v>103</v>
      </c>
      <c r="M30" s="3">
        <v>12</v>
      </c>
      <c r="O30" s="3">
        <v>1</v>
      </c>
      <c r="P30" s="98"/>
    </row>
    <row r="31" spans="1:16" x14ac:dyDescent="0.3">
      <c r="A31" s="166">
        <v>5</v>
      </c>
      <c r="B31" s="290" t="s">
        <v>92</v>
      </c>
      <c r="C31" s="290"/>
      <c r="D31" s="290"/>
      <c r="E31" s="290"/>
      <c r="F31" s="3"/>
      <c r="I31" s="168"/>
      <c r="J31" s="167">
        <v>880</v>
      </c>
      <c r="L31" s="37" t="s">
        <v>128</v>
      </c>
      <c r="M31" s="3"/>
      <c r="O31" s="3">
        <v>2</v>
      </c>
      <c r="P31" s="98"/>
    </row>
    <row r="32" spans="1:16" x14ac:dyDescent="0.3">
      <c r="A32" s="166">
        <v>6</v>
      </c>
      <c r="B32" s="290" t="s">
        <v>93</v>
      </c>
      <c r="C32" s="290"/>
      <c r="D32" s="290"/>
      <c r="E32" s="290"/>
      <c r="F32" s="3"/>
      <c r="I32" s="168"/>
      <c r="J32" s="167">
        <f>800*4*2</f>
        <v>6400</v>
      </c>
      <c r="L32" s="37"/>
      <c r="M32" s="3"/>
      <c r="P32" s="98"/>
    </row>
    <row r="33" spans="1:16" x14ac:dyDescent="0.3">
      <c r="A33" s="166">
        <v>7</v>
      </c>
      <c r="B33" s="290" t="s">
        <v>94</v>
      </c>
      <c r="C33" s="290"/>
      <c r="D33" s="290"/>
      <c r="E33" s="290"/>
      <c r="J33" s="167">
        <v>4000</v>
      </c>
      <c r="L33" s="37"/>
      <c r="M33" s="3"/>
      <c r="P33" s="98"/>
    </row>
    <row r="34" spans="1:16" x14ac:dyDescent="0.3">
      <c r="A34" s="166">
        <v>8</v>
      </c>
      <c r="B34" s="290" t="s">
        <v>95</v>
      </c>
      <c r="C34" s="290"/>
      <c r="D34" s="290"/>
      <c r="E34" s="290"/>
      <c r="J34" s="167">
        <v>200</v>
      </c>
      <c r="L34" s="99"/>
      <c r="M34" s="145"/>
      <c r="N34" s="100"/>
      <c r="O34" s="100"/>
      <c r="P34" s="146"/>
    </row>
    <row r="35" spans="1:16" x14ac:dyDescent="0.3">
      <c r="A35" s="166">
        <v>9</v>
      </c>
      <c r="B35" s="290" t="s">
        <v>96</v>
      </c>
      <c r="C35" s="290"/>
      <c r="D35" s="290"/>
      <c r="E35" s="290"/>
      <c r="J35" s="167">
        <f>P45</f>
        <v>1150</v>
      </c>
      <c r="L35" s="143"/>
      <c r="M35" s="144"/>
      <c r="N35" s="142" t="s">
        <v>2</v>
      </c>
      <c r="O35" s="142"/>
      <c r="P35" s="133">
        <f>SUM(P27:P34)</f>
        <v>4233.333333333333</v>
      </c>
    </row>
    <row r="36" spans="1:16" x14ac:dyDescent="0.3">
      <c r="A36" s="166">
        <v>10</v>
      </c>
      <c r="B36" s="290" t="s">
        <v>97</v>
      </c>
      <c r="C36" s="290"/>
      <c r="D36" s="290"/>
      <c r="E36" s="290"/>
      <c r="J36" s="167">
        <f>15000/12</f>
        <v>1250</v>
      </c>
      <c r="M36" s="3"/>
    </row>
    <row r="37" spans="1:16" x14ac:dyDescent="0.3">
      <c r="A37" s="169">
        <v>11</v>
      </c>
      <c r="B37" s="290" t="s">
        <v>110</v>
      </c>
      <c r="C37" s="290"/>
      <c r="D37" s="290"/>
      <c r="E37" s="290"/>
      <c r="J37" s="167">
        <f>4200/12</f>
        <v>350</v>
      </c>
      <c r="L37" s="143" t="s">
        <v>105</v>
      </c>
      <c r="M37" s="147" t="s">
        <v>99</v>
      </c>
      <c r="N37" s="144" t="s">
        <v>3</v>
      </c>
      <c r="O37" s="144" t="s">
        <v>129</v>
      </c>
      <c r="P37" s="148" t="s">
        <v>100</v>
      </c>
    </row>
    <row r="38" spans="1:16" x14ac:dyDescent="0.3">
      <c r="A38" s="169">
        <v>12</v>
      </c>
      <c r="B38" s="290" t="s">
        <v>109</v>
      </c>
      <c r="C38" s="290"/>
      <c r="D38" s="290"/>
      <c r="E38" s="290"/>
      <c r="G38" s="134"/>
      <c r="H38" s="134"/>
      <c r="I38" s="134"/>
      <c r="J38" s="167">
        <f>11400/12/2</f>
        <v>475</v>
      </c>
      <c r="L38" s="95" t="s">
        <v>96</v>
      </c>
      <c r="M38" s="23">
        <v>12</v>
      </c>
      <c r="N38" s="150">
        <f>4600*O38</f>
        <v>13800</v>
      </c>
      <c r="O38" s="23">
        <v>3</v>
      </c>
      <c r="P38" s="137">
        <f>N38/M38</f>
        <v>1150</v>
      </c>
    </row>
    <row r="39" spans="1:16" x14ac:dyDescent="0.3">
      <c r="A39" s="169">
        <v>13</v>
      </c>
      <c r="B39" s="290" t="s">
        <v>89</v>
      </c>
      <c r="C39" s="290"/>
      <c r="D39" s="290"/>
      <c r="E39" s="290"/>
      <c r="G39" s="134"/>
      <c r="H39" s="134"/>
      <c r="I39" s="134"/>
      <c r="J39" s="167">
        <f>P35</f>
        <v>4233.333333333333</v>
      </c>
      <c r="L39" s="37"/>
      <c r="M39" s="3"/>
      <c r="P39" s="98"/>
    </row>
    <row r="40" spans="1:16" x14ac:dyDescent="0.3">
      <c r="A40" s="169">
        <v>14</v>
      </c>
      <c r="B40" s="290" t="s">
        <v>106</v>
      </c>
      <c r="C40" s="290"/>
      <c r="D40" s="290"/>
      <c r="E40" s="290"/>
      <c r="G40" s="134"/>
      <c r="H40" s="134"/>
      <c r="I40" s="134"/>
      <c r="J40" s="167">
        <f>P45</f>
        <v>1150</v>
      </c>
      <c r="L40" s="37"/>
      <c r="M40" s="3"/>
      <c r="P40" s="98"/>
    </row>
    <row r="41" spans="1:16" ht="18" thickBot="1" x14ac:dyDescent="0.35">
      <c r="A41" s="170"/>
      <c r="B41" s="307"/>
      <c r="C41" s="307"/>
      <c r="D41" s="307"/>
      <c r="E41" s="307"/>
      <c r="F41" s="171"/>
      <c r="G41" s="172"/>
      <c r="H41" s="172"/>
      <c r="I41" s="172"/>
      <c r="J41" s="173"/>
      <c r="L41" s="37"/>
      <c r="M41" s="3"/>
      <c r="P41" s="98"/>
    </row>
    <row r="42" spans="1:16" x14ac:dyDescent="0.3">
      <c r="A42" s="176"/>
      <c r="B42" s="293" t="s">
        <v>133</v>
      </c>
      <c r="C42" s="293"/>
      <c r="D42" s="293"/>
      <c r="E42" s="293"/>
      <c r="F42" s="11"/>
      <c r="G42" s="177"/>
      <c r="H42" s="177"/>
      <c r="I42" s="11"/>
      <c r="J42" s="165">
        <f>SUM(J27:J41)</f>
        <v>38588.333333333336</v>
      </c>
      <c r="L42" s="37"/>
      <c r="M42" s="3"/>
      <c r="P42" s="98"/>
    </row>
    <row r="43" spans="1:16" ht="18" thickBot="1" x14ac:dyDescent="0.35">
      <c r="A43" s="170"/>
      <c r="B43" s="292" t="s">
        <v>130</v>
      </c>
      <c r="C43" s="292"/>
      <c r="D43" s="292"/>
      <c r="E43" s="292"/>
      <c r="F43" s="171"/>
      <c r="G43" s="180"/>
      <c r="H43" s="180"/>
      <c r="I43" s="175">
        <v>0.25</v>
      </c>
      <c r="J43" s="173">
        <f>I43*J42</f>
        <v>9647.0833333333339</v>
      </c>
      <c r="L43" s="37"/>
      <c r="M43" s="3"/>
      <c r="P43" s="98"/>
    </row>
    <row r="44" spans="1:16" ht="18" thickBot="1" x14ac:dyDescent="0.35">
      <c r="A44" s="138"/>
      <c r="B44" s="313" t="s">
        <v>107</v>
      </c>
      <c r="C44" s="313"/>
      <c r="D44" s="313"/>
      <c r="E44" s="313"/>
      <c r="F44" s="6"/>
      <c r="G44" s="6"/>
      <c r="H44" s="6"/>
      <c r="I44" s="178"/>
      <c r="J44" s="179">
        <f>J42+J43</f>
        <v>48235.416666666672</v>
      </c>
      <c r="L44" s="99"/>
      <c r="M44" s="145"/>
      <c r="N44" s="100"/>
      <c r="O44" s="100"/>
      <c r="P44" s="146"/>
    </row>
    <row r="45" spans="1:16" ht="18" thickBot="1" x14ac:dyDescent="0.35">
      <c r="A45" s="182"/>
      <c r="B45" s="183" t="s">
        <v>135</v>
      </c>
      <c r="C45" s="183"/>
      <c r="D45" s="183"/>
      <c r="E45" s="183"/>
      <c r="F45" s="184"/>
      <c r="G45" s="184"/>
      <c r="H45" s="184"/>
      <c r="I45" s="184"/>
      <c r="J45" s="185">
        <f>ROUNDUP(J44,-1)</f>
        <v>48240</v>
      </c>
      <c r="L45" s="143" t="s">
        <v>106</v>
      </c>
      <c r="M45" s="142"/>
      <c r="N45" s="142"/>
      <c r="O45" s="142"/>
      <c r="P45" s="133">
        <f>SUM(P38:P44)</f>
        <v>1150</v>
      </c>
    </row>
    <row r="46" spans="1:16" ht="18" thickBot="1" x14ac:dyDescent="0.35"/>
    <row r="47" spans="1:16" x14ac:dyDescent="0.3">
      <c r="A47" s="217"/>
      <c r="B47" s="174" t="s">
        <v>134</v>
      </c>
      <c r="C47" s="174"/>
      <c r="D47" s="174"/>
      <c r="E47" s="218"/>
      <c r="F47" s="174"/>
      <c r="G47" s="174"/>
      <c r="H47" s="174"/>
      <c r="I47" s="174"/>
      <c r="J47" s="219"/>
    </row>
    <row r="48" spans="1:16" x14ac:dyDescent="0.3">
      <c r="A48" s="45"/>
      <c r="B48" s="1" t="s">
        <v>127</v>
      </c>
      <c r="E48" s="134"/>
      <c r="I48" s="161">
        <v>0.4</v>
      </c>
      <c r="J48" s="167">
        <f>$J$45*I48</f>
        <v>19296</v>
      </c>
    </row>
    <row r="49" spans="1:10" ht="18" thickBot="1" x14ac:dyDescent="0.35">
      <c r="A49" s="46"/>
      <c r="B49" s="171" t="s">
        <v>126</v>
      </c>
      <c r="C49" s="171"/>
      <c r="D49" s="171"/>
      <c r="E49" s="181"/>
      <c r="F49" s="171"/>
      <c r="G49" s="171"/>
      <c r="H49" s="171"/>
      <c r="I49" s="175">
        <v>0.6</v>
      </c>
      <c r="J49" s="173">
        <f>$J$45*I49</f>
        <v>28944</v>
      </c>
    </row>
    <row r="50" spans="1:10" x14ac:dyDescent="0.3">
      <c r="A50" s="11"/>
      <c r="B50" s="11"/>
      <c r="C50" s="11"/>
      <c r="D50" s="11"/>
      <c r="E50" s="11"/>
      <c r="F50" s="11"/>
      <c r="G50" s="11"/>
      <c r="H50" s="11"/>
      <c r="I50" s="11"/>
      <c r="J50" s="11"/>
    </row>
    <row r="51" spans="1:10" ht="18" thickBot="1" x14ac:dyDescent="0.35">
      <c r="A51" s="307"/>
      <c r="B51" s="307"/>
      <c r="C51" s="307"/>
      <c r="D51" s="307"/>
      <c r="E51" s="307"/>
      <c r="F51" s="307"/>
      <c r="G51" s="307"/>
      <c r="H51" s="307"/>
      <c r="I51" s="307"/>
      <c r="J51" s="307"/>
    </row>
    <row r="52" spans="1:10" ht="21" thickBot="1" x14ac:dyDescent="0.35">
      <c r="A52" s="304" t="s">
        <v>142</v>
      </c>
      <c r="B52" s="305"/>
      <c r="C52" s="305"/>
      <c r="D52" s="305"/>
      <c r="E52" s="305"/>
      <c r="F52" s="305"/>
      <c r="G52" s="305"/>
      <c r="H52" s="305"/>
      <c r="I52" s="305"/>
      <c r="J52" s="306"/>
    </row>
    <row r="53" spans="1:10" x14ac:dyDescent="0.3">
      <c r="A53" s="220"/>
      <c r="B53" s="223" t="s">
        <v>140</v>
      </c>
      <c r="C53" s="223"/>
      <c r="D53" s="224"/>
      <c r="E53" s="225"/>
      <c r="F53" s="223"/>
      <c r="G53" s="223"/>
      <c r="H53" s="223"/>
      <c r="I53" s="226">
        <f>J53/J55</f>
        <v>0.73125718199018019</v>
      </c>
      <c r="J53" s="227">
        <f>SUM(D14:D17)</f>
        <v>105000</v>
      </c>
    </row>
    <row r="54" spans="1:10" ht="18" thickBot="1" x14ac:dyDescent="0.35">
      <c r="A54" s="221"/>
      <c r="B54" s="228" t="s">
        <v>141</v>
      </c>
      <c r="C54" s="228"/>
      <c r="D54" s="228"/>
      <c r="E54" s="228"/>
      <c r="F54" s="228"/>
      <c r="G54" s="228"/>
      <c r="H54" s="228"/>
      <c r="I54" s="229">
        <f>J54/J55</f>
        <v>0.26874281800981975</v>
      </c>
      <c r="J54" s="230">
        <f>J42</f>
        <v>38588.333333333336</v>
      </c>
    </row>
    <row r="55" spans="1:10" ht="18" thickBot="1" x14ac:dyDescent="0.35">
      <c r="A55" s="216"/>
      <c r="B55" s="6" t="s">
        <v>143</v>
      </c>
      <c r="C55" s="222"/>
      <c r="D55" s="222"/>
      <c r="E55" s="222"/>
      <c r="F55" s="6"/>
      <c r="G55" s="6"/>
      <c r="H55" s="6"/>
      <c r="I55" s="6"/>
      <c r="J55" s="214">
        <f>SUM(J53:J54)</f>
        <v>143588.33333333334</v>
      </c>
    </row>
  </sheetData>
  <mergeCells count="41">
    <mergeCell ref="F16:G16"/>
    <mergeCell ref="F17:G17"/>
    <mergeCell ref="A25:J25"/>
    <mergeCell ref="B44:E44"/>
    <mergeCell ref="B41:E41"/>
    <mergeCell ref="G20:H20"/>
    <mergeCell ref="A52:J52"/>
    <mergeCell ref="A51:J51"/>
    <mergeCell ref="A18:I18"/>
    <mergeCell ref="A24:I24"/>
    <mergeCell ref="A19:J19"/>
    <mergeCell ref="B43:E43"/>
    <mergeCell ref="B42:E42"/>
    <mergeCell ref="G23:H23"/>
    <mergeCell ref="G22:H22"/>
    <mergeCell ref="G21:H21"/>
    <mergeCell ref="E23:F23"/>
    <mergeCell ref="E21:F21"/>
    <mergeCell ref="E22:F22"/>
    <mergeCell ref="B40:E40"/>
    <mergeCell ref="B32:E32"/>
    <mergeCell ref="B33:E33"/>
    <mergeCell ref="B34:E34"/>
    <mergeCell ref="B35:E35"/>
    <mergeCell ref="B36:E36"/>
    <mergeCell ref="A1:J10"/>
    <mergeCell ref="B26:E26"/>
    <mergeCell ref="B37:E37"/>
    <mergeCell ref="B38:E38"/>
    <mergeCell ref="B39:E39"/>
    <mergeCell ref="B27:E27"/>
    <mergeCell ref="B28:E28"/>
    <mergeCell ref="B29:E29"/>
    <mergeCell ref="B30:E30"/>
    <mergeCell ref="B31:E31"/>
    <mergeCell ref="H13:I13"/>
    <mergeCell ref="E20:F20"/>
    <mergeCell ref="A12:J12"/>
    <mergeCell ref="E13:G13"/>
    <mergeCell ref="F14:G14"/>
    <mergeCell ref="F15:G15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41"/>
  <sheetViews>
    <sheetView tabSelected="1" topLeftCell="A7" zoomScaleNormal="100" workbookViewId="0">
      <selection activeCell="J13" sqref="J13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30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122"/>
      <c r="B1" s="122"/>
      <c r="C1" s="122"/>
      <c r="D1" s="122"/>
      <c r="E1" s="122"/>
      <c r="F1" s="122"/>
      <c r="G1" s="122"/>
      <c r="H1" s="122"/>
      <c r="I1" s="1"/>
      <c r="J1" s="1"/>
      <c r="K1" s="1"/>
      <c r="L1" s="1"/>
      <c r="M1" s="1"/>
    </row>
    <row r="2" spans="1:13" ht="17.25" x14ac:dyDescent="0.3">
      <c r="A2" s="122"/>
      <c r="B2" s="122"/>
      <c r="C2" s="122"/>
      <c r="D2" s="122"/>
      <c r="E2" s="122"/>
      <c r="F2" s="122"/>
      <c r="G2" s="122"/>
      <c r="H2" s="122"/>
      <c r="I2" s="2"/>
      <c r="J2" s="2"/>
      <c r="K2" s="1"/>
      <c r="L2" s="1"/>
      <c r="M2" s="1"/>
    </row>
    <row r="3" spans="1:13" ht="17.25" x14ac:dyDescent="0.3">
      <c r="A3" s="122"/>
      <c r="B3" s="122"/>
      <c r="C3" s="122"/>
      <c r="D3" s="122"/>
      <c r="E3" s="122"/>
      <c r="F3" s="122"/>
      <c r="G3" s="122"/>
      <c r="H3" s="122"/>
      <c r="I3" s="2"/>
      <c r="J3" s="2"/>
      <c r="K3" s="1"/>
      <c r="L3" s="1"/>
      <c r="M3" s="1"/>
    </row>
    <row r="4" spans="1:13" ht="17.25" x14ac:dyDescent="0.3">
      <c r="A4" s="122"/>
      <c r="B4" s="122"/>
      <c r="C4" s="122"/>
      <c r="D4" s="122"/>
      <c r="E4" s="122"/>
      <c r="F4" s="122"/>
      <c r="G4" s="122"/>
      <c r="H4" s="122"/>
      <c r="I4" s="2"/>
      <c r="J4" s="2"/>
      <c r="K4" s="1"/>
      <c r="L4" s="1"/>
      <c r="M4" s="1"/>
    </row>
    <row r="5" spans="1:13" ht="17.25" x14ac:dyDescent="0.3">
      <c r="A5" s="122"/>
      <c r="B5" s="122"/>
      <c r="C5" s="122"/>
      <c r="D5" s="122"/>
      <c r="E5" s="122"/>
      <c r="F5" s="122"/>
      <c r="G5" s="122"/>
      <c r="H5" s="122"/>
      <c r="I5" s="2"/>
      <c r="J5" s="2"/>
      <c r="K5" s="1"/>
      <c r="L5" s="1"/>
      <c r="M5" s="1"/>
    </row>
    <row r="6" spans="1:13" ht="17.25" x14ac:dyDescent="0.3">
      <c r="A6" s="122"/>
      <c r="B6" s="122"/>
      <c r="C6" s="122"/>
      <c r="D6" s="122"/>
      <c r="E6" s="122"/>
      <c r="F6" s="122"/>
      <c r="G6" s="122"/>
      <c r="H6" s="122"/>
      <c r="I6" s="1"/>
      <c r="J6" s="1"/>
      <c r="K6" s="1"/>
      <c r="L6" s="1"/>
      <c r="M6" s="1"/>
    </row>
    <row r="7" spans="1:13" ht="17.25" x14ac:dyDescent="0.3">
      <c r="A7" s="122"/>
      <c r="B7" s="122"/>
      <c r="C7" s="122"/>
      <c r="D7" s="122"/>
      <c r="E7" s="122"/>
      <c r="F7" s="122"/>
      <c r="G7" s="122"/>
      <c r="H7" s="122"/>
      <c r="I7" s="2"/>
      <c r="J7" s="2"/>
      <c r="K7" s="1"/>
      <c r="L7" s="1"/>
      <c r="M7" s="1"/>
    </row>
    <row r="8" spans="1:13" ht="17.25" x14ac:dyDescent="0.3">
      <c r="A8" s="122"/>
      <c r="B8" s="122"/>
      <c r="C8" s="122"/>
      <c r="D8" s="122"/>
      <c r="E8" s="122"/>
      <c r="F8" s="122"/>
      <c r="G8" s="122"/>
      <c r="H8" s="122"/>
      <c r="I8" s="2"/>
      <c r="J8" s="2"/>
      <c r="K8" s="1"/>
      <c r="L8" s="1"/>
      <c r="M8" s="1"/>
    </row>
    <row r="9" spans="1:13" ht="17.25" x14ac:dyDescent="0.3">
      <c r="A9" s="122"/>
      <c r="B9" s="122"/>
      <c r="C9" s="122"/>
      <c r="D9" s="122"/>
      <c r="E9" s="122"/>
      <c r="F9" s="122"/>
      <c r="G9" s="122"/>
      <c r="H9" s="122"/>
      <c r="I9" s="1"/>
      <c r="K9" s="3"/>
      <c r="L9" s="1"/>
      <c r="M9" s="1"/>
    </row>
    <row r="10" spans="1:13" ht="18" thickBot="1" x14ac:dyDescent="0.35">
      <c r="A10" s="122"/>
      <c r="B10" s="122"/>
      <c r="C10" s="122"/>
      <c r="D10" s="122"/>
      <c r="E10" s="122"/>
      <c r="F10" s="122"/>
      <c r="G10" s="122"/>
      <c r="H10" s="122"/>
      <c r="I10" s="2"/>
      <c r="J10" s="2"/>
      <c r="K10" s="3"/>
      <c r="L10" s="1"/>
      <c r="M10" s="1"/>
    </row>
    <row r="11" spans="1:13" ht="21" thickBot="1" x14ac:dyDescent="0.35">
      <c r="A11" s="318" t="s">
        <v>8</v>
      </c>
      <c r="B11" s="319"/>
      <c r="C11" s="319"/>
      <c r="D11" s="319"/>
      <c r="E11" s="319"/>
      <c r="F11" s="319"/>
      <c r="G11" s="319"/>
      <c r="H11" s="320"/>
      <c r="I11" s="1"/>
    </row>
    <row r="12" spans="1:13" ht="18" thickBot="1" x14ac:dyDescent="0.35">
      <c r="A12" s="32"/>
      <c r="B12" s="32"/>
      <c r="C12" s="32"/>
      <c r="D12" s="32"/>
      <c r="E12" s="32"/>
      <c r="F12" s="32"/>
      <c r="G12" s="32"/>
      <c r="H12" s="32"/>
      <c r="J12" s="206"/>
      <c r="K12" s="206"/>
    </row>
    <row r="13" spans="1:13" ht="19.5" thickBot="1" x14ac:dyDescent="0.35">
      <c r="A13" s="321" t="s">
        <v>44</v>
      </c>
      <c r="B13" s="322"/>
      <c r="C13" s="323"/>
      <c r="D13" s="1"/>
      <c r="E13" s="4"/>
      <c r="F13" s="1"/>
      <c r="G13" s="1"/>
      <c r="H13" s="1"/>
    </row>
    <row r="14" spans="1:13" ht="18" thickBot="1" x14ac:dyDescent="0.35">
      <c r="A14" s="324" t="s">
        <v>40</v>
      </c>
      <c r="B14" s="325"/>
      <c r="C14" s="325"/>
      <c r="D14" s="204" t="s">
        <v>42</v>
      </c>
      <c r="E14" s="204" t="s">
        <v>43</v>
      </c>
      <c r="F14" s="204" t="s">
        <v>41</v>
      </c>
      <c r="G14" s="205" t="s">
        <v>11</v>
      </c>
      <c r="H14" s="163"/>
      <c r="I14" s="1"/>
    </row>
    <row r="15" spans="1:13" ht="18" thickBot="1" x14ac:dyDescent="0.35">
      <c r="A15" s="316" t="s">
        <v>56</v>
      </c>
      <c r="B15" s="317"/>
      <c r="C15" s="33"/>
      <c r="D15" s="33"/>
      <c r="E15" s="273"/>
      <c r="F15" s="274"/>
      <c r="G15" s="276">
        <f>SUM(G16:G35)</f>
        <v>29.25</v>
      </c>
      <c r="H15" s="275">
        <f>SUM(H16:H22)</f>
        <v>40060</v>
      </c>
      <c r="I15" s="1"/>
    </row>
    <row r="16" spans="1:13" ht="17.25" x14ac:dyDescent="0.3">
      <c r="A16" s="1" t="s">
        <v>120</v>
      </c>
      <c r="D16" s="26" t="s">
        <v>84</v>
      </c>
      <c r="E16" s="105">
        <f>ROUNDUP(IF(D16="Dewald",Employees!$I$21,IF(D16="Hannes",Employees!$I$21,IF(D16="Johan",Employees!$I$22,IF(D16="Low",Employees!$I$23,"")))),-1)</f>
        <v>490</v>
      </c>
      <c r="F16" s="3">
        <v>40</v>
      </c>
      <c r="G16" s="103">
        <f>IF(F16="","",F16/8)</f>
        <v>5</v>
      </c>
      <c r="H16" s="105">
        <f>IF(E16="","",F16*E16)</f>
        <v>19600</v>
      </c>
      <c r="I16" s="1"/>
    </row>
    <row r="17" spans="1:13" ht="17.25" x14ac:dyDescent="0.3">
      <c r="A17" s="1" t="s">
        <v>166</v>
      </c>
      <c r="D17" s="26" t="s">
        <v>84</v>
      </c>
      <c r="E17" s="105">
        <f>ROUNDUP(IF(D17="Dewald",Employees!$I$21,IF(D17="Hannes",Employees!$I$21,IF(D17="Johan",Employees!$I$22,IF(D17="Low",Employees!$I$23,"")))),-1)</f>
        <v>490</v>
      </c>
      <c r="F17" s="3">
        <f>8*3</f>
        <v>24</v>
      </c>
      <c r="G17" s="103">
        <f>IF(F17="","",F17/8)</f>
        <v>3</v>
      </c>
      <c r="H17" s="105">
        <f>IF(E17="","",F17*E17)</f>
        <v>11760</v>
      </c>
      <c r="I17" s="1"/>
    </row>
    <row r="18" spans="1:13" ht="17.25" x14ac:dyDescent="0.3">
      <c r="A18" s="1" t="s">
        <v>118</v>
      </c>
      <c r="D18" s="26" t="s">
        <v>125</v>
      </c>
      <c r="E18" s="105">
        <f>ROUNDUP(IF(D18="Dewald",Employees!$I$21,IF(D18="Hannes",Employees!$I$21,IF(D18="Johan",Employees!$I$22,IF(D18="Low",Employees!$I$23,"")))),-1)</f>
        <v>750</v>
      </c>
      <c r="F18" s="3">
        <v>3</v>
      </c>
      <c r="G18" s="103">
        <f>IF(F18="","",F18/8)</f>
        <v>0.375</v>
      </c>
      <c r="H18" s="105">
        <f>IF(E18="","",F18*E18)</f>
        <v>2250</v>
      </c>
      <c r="I18" s="1"/>
    </row>
    <row r="19" spans="1:13" ht="17.25" x14ac:dyDescent="0.3">
      <c r="A19" s="1" t="s">
        <v>156</v>
      </c>
      <c r="D19" s="26"/>
      <c r="E19" s="105">
        <v>4800</v>
      </c>
      <c r="F19" s="3">
        <v>0</v>
      </c>
      <c r="G19" s="103">
        <v>0</v>
      </c>
      <c r="H19" s="105">
        <v>4800</v>
      </c>
      <c r="I19" s="1"/>
    </row>
    <row r="20" spans="1:13" ht="17.25" x14ac:dyDescent="0.3">
      <c r="A20" s="1" t="s">
        <v>158</v>
      </c>
      <c r="D20" s="26"/>
      <c r="E20" s="105">
        <v>1200</v>
      </c>
      <c r="F20" s="3">
        <v>0</v>
      </c>
      <c r="G20" s="103">
        <v>0</v>
      </c>
      <c r="H20" s="105">
        <v>1200</v>
      </c>
      <c r="I20" s="1"/>
    </row>
    <row r="21" spans="1:13" ht="17.25" x14ac:dyDescent="0.3">
      <c r="A21" s="1" t="s">
        <v>157</v>
      </c>
      <c r="D21" s="26"/>
      <c r="E21" s="105">
        <v>450</v>
      </c>
      <c r="F21" s="3">
        <v>0</v>
      </c>
      <c r="G21" s="103">
        <v>0</v>
      </c>
      <c r="H21" s="105">
        <f>IF(E21=0,"",IF(D21="",E21,F21*E21))</f>
        <v>450</v>
      </c>
      <c r="I21" s="1"/>
    </row>
    <row r="22" spans="1:13" ht="18" thickBot="1" x14ac:dyDescent="0.35">
      <c r="A22" s="1"/>
      <c r="D22" s="26"/>
      <c r="E22" s="105"/>
      <c r="F22" s="3"/>
      <c r="G22" s="103"/>
      <c r="H22" s="105"/>
      <c r="I22" s="1"/>
    </row>
    <row r="23" spans="1:13" ht="18" thickBot="1" x14ac:dyDescent="0.35">
      <c r="A23" s="316" t="s">
        <v>117</v>
      </c>
      <c r="B23" s="317"/>
      <c r="C23" s="115"/>
      <c r="D23" s="115"/>
      <c r="E23" s="209"/>
      <c r="F23" s="115"/>
      <c r="G23" s="115"/>
      <c r="H23" s="275">
        <f>SUM(H24:H28)</f>
        <v>81000</v>
      </c>
      <c r="I23" s="1"/>
      <c r="M23" s="3"/>
    </row>
    <row r="24" spans="1:13" ht="17.25" x14ac:dyDescent="0.3">
      <c r="A24" s="102" t="s">
        <v>114</v>
      </c>
      <c r="B24" s="152"/>
      <c r="C24" s="152"/>
      <c r="D24" s="26" t="s">
        <v>125</v>
      </c>
      <c r="E24" s="105">
        <f>ROUNDUP(IF(D24="Dewald",Employees!$I$21,IF(D24="Hannes",Employees!$I$21,IF(D24="Johan",Employees!$I$22,IF(D24="Low",Employees!$I$23,"")))),-1)</f>
        <v>750</v>
      </c>
      <c r="F24" s="3">
        <v>8</v>
      </c>
      <c r="G24" s="103">
        <f>IF(F24="","",F24/8)</f>
        <v>1</v>
      </c>
      <c r="H24" s="105">
        <f>IF(E24="","",F24*E24)</f>
        <v>6000</v>
      </c>
      <c r="I24" s="1"/>
      <c r="M24" s="3"/>
    </row>
    <row r="25" spans="1:13" ht="17.25" x14ac:dyDescent="0.3">
      <c r="A25" s="102" t="s">
        <v>164</v>
      </c>
      <c r="B25" s="152"/>
      <c r="C25" s="152"/>
      <c r="D25" s="26" t="s">
        <v>125</v>
      </c>
      <c r="E25" s="105">
        <f>ROUNDUP(IF(D25="Dewald",Employees!$I$21,IF(D25="Hannes",Employees!$I$21,IF(D25="Johan",Employees!$I$22,IF(D25="Low",Employees!$I$23,"")))),-1)</f>
        <v>750</v>
      </c>
      <c r="F25" s="3">
        <v>40</v>
      </c>
      <c r="G25" s="103">
        <f>IF(F25="","",F25/8)</f>
        <v>5</v>
      </c>
      <c r="H25" s="105">
        <f>IF(E25="","",F25*E25)</f>
        <v>30000</v>
      </c>
      <c r="I25" s="1"/>
      <c r="M25" s="3"/>
    </row>
    <row r="26" spans="1:13" ht="17.25" x14ac:dyDescent="0.3">
      <c r="A26" s="102" t="s">
        <v>165</v>
      </c>
      <c r="B26" s="152"/>
      <c r="C26" s="152"/>
      <c r="D26" s="26" t="s">
        <v>125</v>
      </c>
      <c r="E26" s="105">
        <f>ROUNDUP(IF(D26="Dewald",Employees!$I$21,IF(D26="Hannes",Employees!$I$21,IF(D26="Johan",Employees!$I$22,IF(D26="Low",Employees!$I$23,"")))),-1)</f>
        <v>750</v>
      </c>
      <c r="F26" s="3">
        <v>56</v>
      </c>
      <c r="G26" s="103">
        <f t="shared" ref="G26:G27" si="0">IF(F26="","",F26/8)</f>
        <v>7</v>
      </c>
      <c r="H26" s="105">
        <f t="shared" ref="H26:H27" si="1">IF(E26="","",F26*E26)</f>
        <v>42000</v>
      </c>
      <c r="I26" s="1"/>
      <c r="K26" t="s">
        <v>160</v>
      </c>
      <c r="M26" s="3"/>
    </row>
    <row r="27" spans="1:13" ht="17.25" x14ac:dyDescent="0.3">
      <c r="A27" s="102" t="s">
        <v>159</v>
      </c>
      <c r="B27" s="152"/>
      <c r="D27" s="26" t="s">
        <v>125</v>
      </c>
      <c r="E27" s="105">
        <f>ROUNDUP(IF(D27="Dewald",Employees!$I$21,IF(D27="Hannes",Employees!$I$21,IF(D27="Johan",Employees!$I$22,IF(D27="Low",Employees!$I$23,"")))),-1)</f>
        <v>750</v>
      </c>
      <c r="F27" s="3">
        <v>4</v>
      </c>
      <c r="G27" s="103">
        <f t="shared" si="0"/>
        <v>0.5</v>
      </c>
      <c r="H27" s="105">
        <f t="shared" si="1"/>
        <v>3000</v>
      </c>
      <c r="I27" s="1"/>
      <c r="K27" s="339">
        <v>5500</v>
      </c>
      <c r="L27" t="s">
        <v>161</v>
      </c>
      <c r="M27" s="3"/>
    </row>
    <row r="28" spans="1:13" ht="18" thickBot="1" x14ac:dyDescent="0.35">
      <c r="A28" s="102"/>
      <c r="B28" s="152"/>
      <c r="C28" s="152"/>
      <c r="D28" s="26"/>
      <c r="E28" s="105"/>
      <c r="F28" s="3"/>
      <c r="G28" s="103"/>
      <c r="H28" s="105"/>
      <c r="I28" s="1"/>
      <c r="J28" s="340">
        <f>SUM(H26:H27)/K27</f>
        <v>8.1818181818181817</v>
      </c>
      <c r="K28" t="s">
        <v>162</v>
      </c>
      <c r="M28" s="3"/>
    </row>
    <row r="29" spans="1:13" ht="18" thickBot="1" x14ac:dyDescent="0.35">
      <c r="A29" s="316" t="s">
        <v>116</v>
      </c>
      <c r="B29" s="317"/>
      <c r="C29" s="115"/>
      <c r="D29" s="115"/>
      <c r="E29" s="209"/>
      <c r="F29" s="115"/>
      <c r="G29" s="272"/>
      <c r="H29" s="275">
        <f>SUM(H30:H35)</f>
        <v>42010</v>
      </c>
      <c r="I29" s="1"/>
      <c r="M29" s="3"/>
    </row>
    <row r="30" spans="1:13" ht="17.25" x14ac:dyDescent="0.3">
      <c r="A30" s="11" t="s">
        <v>163</v>
      </c>
      <c r="B30" s="11"/>
      <c r="C30" s="11"/>
      <c r="D30" s="91" t="s">
        <v>52</v>
      </c>
      <c r="E30" s="208">
        <f>ROUNDUP(IF(D30="Dewald",Employees!$I$21,IF(D30="Hannes",Employees!$I$21,IF(D30="Johan",Employees!$I$22,IF(D30="Low",Employees!$I$23,"")))),-1)</f>
        <v>750</v>
      </c>
      <c r="F30" s="66">
        <v>24</v>
      </c>
      <c r="G30" s="207">
        <f t="shared" ref="G30:G35" si="2">IF(F30="","",F30/8)</f>
        <v>3</v>
      </c>
      <c r="H30" s="208">
        <f t="shared" ref="H30:H35" si="3">IF(E30="","",F30*E30)</f>
        <v>18000</v>
      </c>
      <c r="I30" s="1"/>
      <c r="M30" s="3"/>
    </row>
    <row r="31" spans="1:13" ht="17.25" x14ac:dyDescent="0.3">
      <c r="A31" s="1" t="s">
        <v>123</v>
      </c>
      <c r="B31" s="1"/>
      <c r="C31" s="1"/>
      <c r="D31" s="26" t="s">
        <v>108</v>
      </c>
      <c r="E31" s="105">
        <f>ROUNDUP(IF(D31="Dewald",Employees!$I$21,IF(D31="Hannes",Employees!$I$21,IF(D31="Johan",Employees!$I$22,IF(D31="Low",Employees!$I$23,"")))),-1)</f>
        <v>680</v>
      </c>
      <c r="F31" s="3">
        <v>16</v>
      </c>
      <c r="G31" s="103">
        <f t="shared" si="2"/>
        <v>2</v>
      </c>
      <c r="H31" s="105">
        <f t="shared" si="3"/>
        <v>10880</v>
      </c>
      <c r="I31" s="1"/>
      <c r="M31" s="3"/>
    </row>
    <row r="32" spans="1:13" ht="17.25" x14ac:dyDescent="0.3">
      <c r="A32" s="1" t="s">
        <v>124</v>
      </c>
      <c r="B32" s="1"/>
      <c r="C32" s="1"/>
      <c r="D32" s="26" t="s">
        <v>108</v>
      </c>
      <c r="E32" s="105">
        <f>ROUNDUP(IF(D32="Dewald",Employees!$I$21,IF(D32="Hannes",Employees!$I$21,IF(D32="Johan",Employees!$I$22,IF(D32="Low",Employees!$I$23,"")))),-1)</f>
        <v>680</v>
      </c>
      <c r="F32" s="3">
        <v>8</v>
      </c>
      <c r="G32" s="103">
        <f t="shared" si="2"/>
        <v>1</v>
      </c>
      <c r="H32" s="105">
        <f t="shared" si="3"/>
        <v>5440</v>
      </c>
      <c r="I32" s="1"/>
      <c r="M32" s="3"/>
    </row>
    <row r="33" spans="1:13" ht="17.25" x14ac:dyDescent="0.3">
      <c r="A33" s="1" t="s">
        <v>111</v>
      </c>
      <c r="B33" s="1"/>
      <c r="C33" s="1"/>
      <c r="D33" s="26" t="s">
        <v>52</v>
      </c>
      <c r="E33" s="105">
        <f>ROUNDUP(IF(D33="Dewald",Employees!$I$21,IF(D33="Hannes",Employees!$I$21,IF(D33="Johan",Employees!$I$22,IF(D33="Low",Employees!$I$23,"")))),-1)</f>
        <v>750</v>
      </c>
      <c r="F33" s="3">
        <v>3</v>
      </c>
      <c r="G33" s="103">
        <f t="shared" si="2"/>
        <v>0.375</v>
      </c>
      <c r="H33" s="105">
        <f t="shared" si="3"/>
        <v>2250</v>
      </c>
      <c r="I33" s="1"/>
      <c r="M33" s="3"/>
    </row>
    <row r="34" spans="1:13" ht="17.25" x14ac:dyDescent="0.3">
      <c r="A34" s="1" t="s">
        <v>112</v>
      </c>
      <c r="B34" s="1"/>
      <c r="C34" s="1"/>
      <c r="D34" s="26" t="s">
        <v>108</v>
      </c>
      <c r="E34" s="105">
        <f>ROUNDUP(IF(D34="Dewald",Employees!$I$21,IF(D34="Hannes",Employees!$I$21,IF(D34="Johan",Employees!$I$22,IF(D34="Low",Employees!$I$23,"")))),-1)</f>
        <v>680</v>
      </c>
      <c r="F34" s="3">
        <v>8</v>
      </c>
      <c r="G34" s="103">
        <f t="shared" si="2"/>
        <v>1</v>
      </c>
      <c r="H34" s="105">
        <f t="shared" si="3"/>
        <v>5440</v>
      </c>
      <c r="I34" s="1"/>
    </row>
    <row r="35" spans="1:13" ht="17.25" x14ac:dyDescent="0.3">
      <c r="E35" s="26"/>
      <c r="F35" s="3"/>
      <c r="G35" s="103" t="str">
        <f t="shared" si="2"/>
        <v/>
      </c>
      <c r="H35" s="105" t="str">
        <f t="shared" si="3"/>
        <v/>
      </c>
      <c r="I35" s="1"/>
    </row>
    <row r="36" spans="1:13" ht="18" thickBot="1" x14ac:dyDescent="0.35">
      <c r="A36" s="61"/>
      <c r="B36" s="61"/>
      <c r="C36" s="61"/>
      <c r="D36" s="61"/>
      <c r="E36" s="61"/>
      <c r="F36" s="61"/>
      <c r="G36" s="270" t="str">
        <f t="shared" ref="G36" si="4">IF(F36="","",F36/8)</f>
        <v/>
      </c>
      <c r="H36" s="271"/>
      <c r="I36" s="1"/>
    </row>
    <row r="37" spans="1:13" ht="17.25" x14ac:dyDescent="0.3">
      <c r="F37" s="256" t="s">
        <v>55</v>
      </c>
      <c r="G37" s="141"/>
      <c r="H37" s="158">
        <f>H15+H23+H29</f>
        <v>163070</v>
      </c>
      <c r="I37" s="1"/>
    </row>
    <row r="38" spans="1:13" ht="18" thickBot="1" x14ac:dyDescent="0.35">
      <c r="F38" s="267" t="s">
        <v>54</v>
      </c>
      <c r="G38" s="268">
        <v>0</v>
      </c>
      <c r="H38" s="269">
        <f>H37*G38</f>
        <v>0</v>
      </c>
      <c r="I38" s="1"/>
    </row>
    <row r="39" spans="1:13" ht="19.5" thickBot="1" x14ac:dyDescent="0.35">
      <c r="F39" s="264" t="s">
        <v>47</v>
      </c>
      <c r="G39" s="265"/>
      <c r="H39" s="266">
        <f>(H37-H38)</f>
        <v>163070</v>
      </c>
      <c r="I39" s="1"/>
    </row>
    <row r="40" spans="1:13" ht="18" thickBot="1" x14ac:dyDescent="0.35">
      <c r="I40" s="1"/>
    </row>
    <row r="41" spans="1:13" ht="18" thickBot="1" x14ac:dyDescent="0.35">
      <c r="A41" s="238" t="s">
        <v>150</v>
      </c>
      <c r="B41" s="239" t="s">
        <v>144</v>
      </c>
      <c r="C41" s="239" t="s">
        <v>149</v>
      </c>
      <c r="D41" s="240"/>
      <c r="F41" s="257" t="s">
        <v>151</v>
      </c>
      <c r="G41" s="258"/>
      <c r="H41" s="254">
        <f>(H44*8)*(SUM(Employees!J21:J22)/2)</f>
        <v>232947</v>
      </c>
      <c r="I41" s="1"/>
    </row>
    <row r="42" spans="1:13" ht="18" thickBot="1" x14ac:dyDescent="0.35">
      <c r="A42" s="231" t="s">
        <v>2</v>
      </c>
      <c r="B42" s="247">
        <v>2.4</v>
      </c>
      <c r="C42" s="248">
        <f>B42/B42</f>
        <v>1</v>
      </c>
      <c r="D42" s="249">
        <f>C42*$H$39</f>
        <v>163070</v>
      </c>
      <c r="F42" s="334" t="str">
        <f>IF(H42&lt;0,"Shortfall","Over and Above")</f>
        <v>Shortfall</v>
      </c>
      <c r="G42" s="335"/>
      <c r="H42" s="255">
        <f>H39-H41</f>
        <v>-69877</v>
      </c>
      <c r="I42" s="1"/>
    </row>
    <row r="43" spans="1:13" ht="18" thickBot="1" x14ac:dyDescent="0.35">
      <c r="A43" s="232" t="s">
        <v>145</v>
      </c>
      <c r="B43" s="245">
        <v>1</v>
      </c>
      <c r="C43" s="241">
        <f>B43/B42</f>
        <v>0.41666666666666669</v>
      </c>
      <c r="D43" s="242">
        <f>C43*$H$39</f>
        <v>67945.833333333343</v>
      </c>
      <c r="I43" s="1"/>
    </row>
    <row r="44" spans="1:13" ht="17.25" x14ac:dyDescent="0.3">
      <c r="A44" s="232" t="s">
        <v>146</v>
      </c>
      <c r="B44" s="245">
        <v>1</v>
      </c>
      <c r="C44" s="241">
        <f>B44/B42</f>
        <v>0.41666666666666669</v>
      </c>
      <c r="D44" s="242">
        <f>C44*$H$39</f>
        <v>67945.833333333343</v>
      </c>
      <c r="F44" s="251" t="s">
        <v>51</v>
      </c>
      <c r="G44" s="259"/>
      <c r="H44" s="253">
        <f>G15</f>
        <v>29.25</v>
      </c>
      <c r="I44" s="1"/>
    </row>
    <row r="45" spans="1:13" ht="17.25" x14ac:dyDescent="0.3">
      <c r="A45" s="233" t="s">
        <v>147</v>
      </c>
      <c r="B45" s="245">
        <v>0.11</v>
      </c>
      <c r="C45" s="241">
        <f>B45/B42</f>
        <v>4.5833333333333337E-2</v>
      </c>
      <c r="D45" s="242">
        <f>C45*$H$39</f>
        <v>7474.041666666667</v>
      </c>
      <c r="F45" s="252" t="s">
        <v>153</v>
      </c>
      <c r="G45" s="27"/>
      <c r="H45" s="262">
        <f>H46/8</f>
        <v>696.88034188034192</v>
      </c>
      <c r="I45" s="1"/>
    </row>
    <row r="46" spans="1:13" ht="18" thickBot="1" x14ac:dyDescent="0.35">
      <c r="A46" s="234" t="s">
        <v>148</v>
      </c>
      <c r="B46" s="246">
        <v>0.28999999999999998</v>
      </c>
      <c r="C46" s="243">
        <f>B46/B42</f>
        <v>0.12083333333333333</v>
      </c>
      <c r="D46" s="244">
        <f>C46*$H$39</f>
        <v>19704.291666666668</v>
      </c>
      <c r="F46" s="252" t="s">
        <v>53</v>
      </c>
      <c r="G46" s="27"/>
      <c r="H46" s="262">
        <f>H39/H44</f>
        <v>5575.0427350427353</v>
      </c>
      <c r="I46" s="1"/>
    </row>
    <row r="47" spans="1:13" ht="18" thickBot="1" x14ac:dyDescent="0.35">
      <c r="D47" s="1"/>
      <c r="F47" s="260" t="s">
        <v>119</v>
      </c>
      <c r="G47" s="261"/>
      <c r="H47" s="263">
        <f>(Employees!G21+Employees!G22)/2</f>
        <v>5668.8571428571431</v>
      </c>
      <c r="I47" s="1"/>
    </row>
    <row r="48" spans="1:13" ht="18" thickBot="1" x14ac:dyDescent="0.35">
      <c r="A48" s="235" t="s">
        <v>139</v>
      </c>
      <c r="B48" s="236"/>
      <c r="C48" s="236"/>
      <c r="D48" s="237">
        <f>D46</f>
        <v>19704.291666666668</v>
      </c>
      <c r="F48" s="156" t="str">
        <f>IF(H48&lt;0,"Shortfall","Over and Above")</f>
        <v>Shortfall</v>
      </c>
      <c r="G48" s="157"/>
      <c r="H48" s="255">
        <f>H46-H47</f>
        <v>-93.814407814407787</v>
      </c>
      <c r="I48" s="1"/>
    </row>
    <row r="49" spans="1:13" ht="19.5" customHeight="1" x14ac:dyDescent="0.3">
      <c r="I49" s="1"/>
    </row>
    <row r="50" spans="1:13" ht="17.25" x14ac:dyDescent="0.3">
      <c r="A50" s="38"/>
      <c r="B50" s="38"/>
      <c r="C50" s="38"/>
      <c r="D50" s="38"/>
      <c r="E50" s="38"/>
      <c r="F50" s="38"/>
      <c r="G50" s="38"/>
      <c r="H50" s="38"/>
      <c r="I50" s="1"/>
    </row>
    <row r="51" spans="1:13" ht="18" thickBot="1" x14ac:dyDescent="0.35">
      <c r="H51" s="92"/>
      <c r="I51" s="1"/>
    </row>
    <row r="52" spans="1:13" ht="19.5" thickBot="1" x14ac:dyDescent="0.35">
      <c r="A52" s="113" t="s">
        <v>49</v>
      </c>
      <c r="B52" s="87"/>
      <c r="C52" s="88"/>
      <c r="D52" s="1"/>
      <c r="E52" s="3"/>
      <c r="F52" s="1"/>
      <c r="G52" s="1"/>
      <c r="H52" s="1"/>
      <c r="I52" s="1"/>
    </row>
    <row r="53" spans="1:13" ht="18" thickBot="1" x14ac:dyDescent="0.35">
      <c r="A53" s="72" t="s">
        <v>40</v>
      </c>
      <c r="B53" s="63"/>
      <c r="C53" s="63"/>
      <c r="D53" s="63"/>
      <c r="E53" s="63"/>
      <c r="F53" s="63"/>
      <c r="G53" s="118"/>
      <c r="H53" s="64"/>
      <c r="I53" s="1"/>
      <c r="J53" s="1"/>
      <c r="K53" s="49"/>
      <c r="M53" s="51"/>
    </row>
    <row r="54" spans="1:13" ht="15.75" thickBot="1" x14ac:dyDescent="0.3"/>
    <row r="55" spans="1:13" ht="18" thickBot="1" x14ac:dyDescent="0.35">
      <c r="A55" s="89" t="s">
        <v>56</v>
      </c>
      <c r="B55" s="90"/>
      <c r="C55" s="33"/>
      <c r="D55" s="63" t="s">
        <v>42</v>
      </c>
      <c r="E55" s="63" t="s">
        <v>48</v>
      </c>
      <c r="F55" s="63" t="s">
        <v>50</v>
      </c>
      <c r="G55" s="117"/>
      <c r="H55" s="107">
        <f>SUM(H56:H59)</f>
        <v>28780</v>
      </c>
      <c r="I55" s="1"/>
      <c r="M55" s="26"/>
    </row>
    <row r="56" spans="1:13" ht="17.25" x14ac:dyDescent="0.3">
      <c r="A56" s="1" t="s">
        <v>120</v>
      </c>
      <c r="E56" s="5">
        <v>40</v>
      </c>
      <c r="F56" s="1">
        <v>495</v>
      </c>
      <c r="H56" s="105">
        <f>F56*E56</f>
        <v>19800</v>
      </c>
      <c r="I56" s="1"/>
    </row>
    <row r="57" spans="1:13" ht="17.25" x14ac:dyDescent="0.3">
      <c r="A57" s="1" t="s">
        <v>121</v>
      </c>
      <c r="E57" s="5">
        <v>30</v>
      </c>
      <c r="F57" s="1">
        <v>160</v>
      </c>
      <c r="H57" s="105">
        <f>F57*E57</f>
        <v>4800</v>
      </c>
      <c r="I57" s="1"/>
    </row>
    <row r="58" spans="1:13" ht="17.25" x14ac:dyDescent="0.3">
      <c r="A58" s="1" t="s">
        <v>118</v>
      </c>
      <c r="E58" s="5">
        <v>3.5</v>
      </c>
      <c r="F58" s="1">
        <v>600</v>
      </c>
      <c r="G58" s="1"/>
      <c r="H58" s="105">
        <f>E58*F58</f>
        <v>2100</v>
      </c>
      <c r="I58" s="1"/>
    </row>
    <row r="59" spans="1:13" ht="17.25" x14ac:dyDescent="0.3">
      <c r="A59" s="1" t="s">
        <v>113</v>
      </c>
      <c r="E59" s="5">
        <v>160</v>
      </c>
      <c r="F59" s="1">
        <v>2</v>
      </c>
      <c r="G59" s="1">
        <v>6.5</v>
      </c>
      <c r="H59" s="105">
        <f>E59*F59*G59</f>
        <v>2080</v>
      </c>
      <c r="M59" s="1"/>
    </row>
    <row r="60" spans="1:13" ht="18" thickBot="1" x14ac:dyDescent="0.35">
      <c r="J60" s="153"/>
      <c r="K60" s="154"/>
      <c r="L60" s="155"/>
      <c r="M60" s="1"/>
    </row>
    <row r="61" spans="1:13" ht="18" thickBot="1" x14ac:dyDescent="0.35">
      <c r="A61" s="316" t="s">
        <v>117</v>
      </c>
      <c r="B61" s="317"/>
      <c r="C61" s="115"/>
      <c r="D61" s="115"/>
      <c r="E61" s="115"/>
      <c r="F61" s="115"/>
      <c r="G61" s="115"/>
      <c r="H61" s="107">
        <f>SUM(H62:H64)</f>
        <v>0</v>
      </c>
      <c r="J61" s="153"/>
      <c r="K61" s="154"/>
      <c r="L61" s="155"/>
      <c r="M61" s="1"/>
    </row>
    <row r="62" spans="1:13" ht="17.25" x14ac:dyDescent="0.3">
      <c r="A62" s="102" t="s">
        <v>114</v>
      </c>
      <c r="E62" s="5">
        <v>100</v>
      </c>
      <c r="F62" s="1">
        <v>0</v>
      </c>
      <c r="H62" s="105">
        <f>F62*E62</f>
        <v>0</v>
      </c>
      <c r="J62" s="153"/>
      <c r="K62" s="154"/>
      <c r="L62" s="155"/>
      <c r="M62" s="1"/>
    </row>
    <row r="63" spans="1:13" ht="17.25" x14ac:dyDescent="0.3">
      <c r="A63" s="102" t="s">
        <v>115</v>
      </c>
      <c r="E63" s="5">
        <v>50</v>
      </c>
      <c r="F63" s="1">
        <v>0</v>
      </c>
      <c r="H63" s="105">
        <f>F63*E63</f>
        <v>0</v>
      </c>
      <c r="J63" s="153"/>
      <c r="K63" s="154"/>
      <c r="L63" s="155"/>
      <c r="M63" s="1"/>
    </row>
    <row r="64" spans="1:13" ht="18" thickBot="1" x14ac:dyDescent="0.35">
      <c r="J64" s="153"/>
      <c r="K64" s="154"/>
      <c r="L64" s="155"/>
      <c r="M64" s="1"/>
    </row>
    <row r="65" spans="1:13" ht="18" thickBot="1" x14ac:dyDescent="0.35">
      <c r="A65" s="316" t="s">
        <v>116</v>
      </c>
      <c r="B65" s="317"/>
      <c r="C65" s="115"/>
      <c r="D65" s="115"/>
      <c r="E65" s="115"/>
      <c r="F65" s="115"/>
      <c r="G65" s="115"/>
      <c r="H65" s="107">
        <f>SUM(H66:H70)</f>
        <v>80325</v>
      </c>
      <c r="J65" s="153"/>
      <c r="K65" s="154"/>
      <c r="L65" s="155"/>
      <c r="M65" s="1"/>
    </row>
    <row r="66" spans="1:13" ht="17.25" x14ac:dyDescent="0.3">
      <c r="A66" s="1" t="s">
        <v>122</v>
      </c>
      <c r="B66" s="102"/>
      <c r="D66" s="26" t="s">
        <v>52</v>
      </c>
      <c r="E66" s="5">
        <v>150</v>
      </c>
      <c r="F66" s="1">
        <v>395</v>
      </c>
      <c r="G66" s="1"/>
      <c r="H66" s="105">
        <f>F66*E66</f>
        <v>59250</v>
      </c>
      <c r="M66" s="1"/>
    </row>
    <row r="67" spans="1:13" ht="17.25" x14ac:dyDescent="0.3">
      <c r="A67" s="1" t="s">
        <v>123</v>
      </c>
      <c r="B67" s="102"/>
      <c r="D67" s="26" t="s">
        <v>52</v>
      </c>
      <c r="E67" s="5">
        <v>50</v>
      </c>
      <c r="F67" s="1">
        <v>160</v>
      </c>
      <c r="G67" s="1"/>
      <c r="H67" s="105">
        <f>F67*E67</f>
        <v>8000</v>
      </c>
      <c r="M67" s="1"/>
    </row>
    <row r="68" spans="1:13" ht="17.25" x14ac:dyDescent="0.3">
      <c r="A68" s="1" t="s">
        <v>124</v>
      </c>
      <c r="B68" s="102"/>
      <c r="D68" s="26" t="s">
        <v>52</v>
      </c>
      <c r="E68" s="5">
        <v>25</v>
      </c>
      <c r="F68" s="1">
        <v>425</v>
      </c>
      <c r="G68" s="1"/>
      <c r="H68" s="105">
        <f>F68*E68</f>
        <v>10625</v>
      </c>
      <c r="M68" s="1"/>
    </row>
    <row r="69" spans="1:13" ht="17.25" x14ac:dyDescent="0.3">
      <c r="A69" s="1" t="s">
        <v>111</v>
      </c>
      <c r="B69" s="102"/>
      <c r="D69" s="26" t="s">
        <v>52</v>
      </c>
      <c r="E69" s="5">
        <v>2.5</v>
      </c>
      <c r="F69" s="1">
        <v>980</v>
      </c>
      <c r="G69" s="1"/>
      <c r="H69" s="105">
        <f>F69*E69</f>
        <v>2450</v>
      </c>
      <c r="M69" s="1"/>
    </row>
    <row r="70" spans="1:13" ht="17.25" x14ac:dyDescent="0.3">
      <c r="A70" s="1" t="s">
        <v>112</v>
      </c>
      <c r="B70" s="102"/>
      <c r="D70" s="26" t="s">
        <v>52</v>
      </c>
      <c r="E70" s="5">
        <v>50</v>
      </c>
      <c r="F70" s="1">
        <v>0</v>
      </c>
      <c r="G70" s="1"/>
      <c r="H70" s="105">
        <f>F70*E70</f>
        <v>0</v>
      </c>
      <c r="M70" s="1"/>
    </row>
    <row r="71" spans="1:13" ht="17.25" x14ac:dyDescent="0.3">
      <c r="M71" s="1"/>
    </row>
    <row r="72" spans="1:13" ht="18" x14ac:dyDescent="0.3">
      <c r="A72" s="34"/>
      <c r="C72" s="34"/>
      <c r="D72" s="34"/>
      <c r="F72" s="48" t="s">
        <v>67</v>
      </c>
      <c r="G72" s="34"/>
      <c r="H72" s="104">
        <f>H55+H61+H65</f>
        <v>109105</v>
      </c>
      <c r="J72" s="92"/>
      <c r="M72" s="1"/>
    </row>
    <row r="73" spans="1:13" ht="18.75" thickBot="1" x14ac:dyDescent="0.35">
      <c r="A73" s="34"/>
      <c r="B73" s="34"/>
      <c r="C73" s="34"/>
      <c r="E73" s="75"/>
      <c r="F73" s="48" t="s">
        <v>54</v>
      </c>
      <c r="G73" s="35">
        <v>0</v>
      </c>
      <c r="H73" s="104">
        <f>H72*G73</f>
        <v>0</v>
      </c>
      <c r="J73" s="92"/>
      <c r="M73" s="1"/>
    </row>
    <row r="74" spans="1:13" ht="19.5" thickBot="1" x14ac:dyDescent="0.35">
      <c r="A74" s="1"/>
      <c r="B74" s="1"/>
      <c r="C74" s="1"/>
      <c r="D74" s="1"/>
      <c r="E74" s="1"/>
      <c r="F74" s="1"/>
      <c r="G74" s="36" t="s">
        <v>47</v>
      </c>
      <c r="H74" s="106">
        <f>H72</f>
        <v>109105</v>
      </c>
      <c r="L74" s="1"/>
      <c r="M74" s="1"/>
    </row>
    <row r="75" spans="1:13" ht="17.25" x14ac:dyDescent="0.3">
      <c r="A75" s="1"/>
      <c r="B75" s="1"/>
      <c r="C75" s="1"/>
      <c r="D75" s="1"/>
      <c r="E75" s="1"/>
      <c r="F75" s="1"/>
      <c r="G75" s="1"/>
      <c r="H75" s="1"/>
      <c r="M75" s="49"/>
    </row>
    <row r="76" spans="1:13" ht="17.25" x14ac:dyDescent="0.3">
      <c r="A76" s="38"/>
      <c r="B76" s="38"/>
      <c r="C76" s="38"/>
      <c r="D76" s="38"/>
      <c r="E76" s="38"/>
      <c r="F76" s="38"/>
      <c r="G76" s="38"/>
      <c r="H76" s="38"/>
      <c r="J76" s="5"/>
      <c r="K76" s="5"/>
    </row>
    <row r="77" spans="1:13" ht="18" thickBot="1" x14ac:dyDescent="0.35">
      <c r="L77" s="1"/>
      <c r="M77" s="1"/>
    </row>
    <row r="78" spans="1:13" ht="19.5" thickBot="1" x14ac:dyDescent="0.35">
      <c r="A78" s="114" t="s">
        <v>45</v>
      </c>
      <c r="B78" s="115"/>
      <c r="C78" s="116"/>
      <c r="D78" s="1"/>
      <c r="E78" s="1"/>
      <c r="F78" s="1"/>
      <c r="G78" s="1"/>
      <c r="H78" s="1"/>
    </row>
    <row r="79" spans="1:13" ht="18" thickBot="1" x14ac:dyDescent="0.35">
      <c r="A79" s="72" t="s">
        <v>9</v>
      </c>
      <c r="B79" s="63"/>
      <c r="C79" s="63"/>
      <c r="D79" s="110"/>
      <c r="E79" s="111"/>
      <c r="F79" s="63" t="s">
        <v>48</v>
      </c>
      <c r="G79" s="111" t="s">
        <v>10</v>
      </c>
      <c r="H79" s="112" t="s">
        <v>60</v>
      </c>
    </row>
    <row r="80" spans="1:13" ht="17.25" x14ac:dyDescent="0.3">
      <c r="A80" s="11"/>
      <c r="B80" s="11"/>
      <c r="C80" s="11"/>
      <c r="D80" s="11"/>
      <c r="E80" s="91"/>
      <c r="F80" s="91"/>
      <c r="G80" s="66"/>
      <c r="H80" s="91"/>
    </row>
    <row r="81" spans="1:9" ht="17.25" x14ac:dyDescent="0.3">
      <c r="A81" s="1" t="s">
        <v>83</v>
      </c>
      <c r="B81" s="27"/>
      <c r="C81" s="4"/>
      <c r="D81" s="1"/>
      <c r="E81" s="26"/>
      <c r="F81" s="26">
        <v>8000</v>
      </c>
      <c r="G81" s="3">
        <v>289</v>
      </c>
      <c r="H81" s="26">
        <f>G81*F81</f>
        <v>2312000</v>
      </c>
    </row>
    <row r="82" spans="1:9" ht="17.25" x14ac:dyDescent="0.3">
      <c r="A82" s="1"/>
      <c r="B82" s="27"/>
      <c r="F82" s="26"/>
      <c r="G82" s="3"/>
      <c r="H82" s="26"/>
    </row>
    <row r="83" spans="1:9" ht="17.25" x14ac:dyDescent="0.3">
      <c r="A83" s="1"/>
    </row>
    <row r="84" spans="1:9" ht="18" thickBot="1" x14ac:dyDescent="0.35">
      <c r="A84" s="1"/>
      <c r="B84" s="1"/>
      <c r="C84" s="1"/>
      <c r="D84" s="1" t="s">
        <v>82</v>
      </c>
      <c r="E84" s="26"/>
      <c r="F84" s="26"/>
      <c r="G84" s="3"/>
      <c r="H84" s="26"/>
    </row>
    <row r="85" spans="1:9" ht="18" thickBot="1" x14ac:dyDescent="0.35">
      <c r="A85" s="1"/>
      <c r="B85" s="1"/>
      <c r="C85" s="1"/>
      <c r="D85" s="1"/>
      <c r="E85" s="62"/>
      <c r="F85" s="28" t="s">
        <v>2</v>
      </c>
      <c r="G85" s="29">
        <f>SUM(G80:G83)</f>
        <v>289</v>
      </c>
      <c r="H85" s="52">
        <f>SUM(H80:H84)</f>
        <v>2312000</v>
      </c>
    </row>
    <row r="86" spans="1:9" ht="15.75" thickBot="1" x14ac:dyDescent="0.3"/>
    <row r="87" spans="1:9" ht="18.75" thickBot="1" x14ac:dyDescent="0.3">
      <c r="A87" s="124" t="s">
        <v>26</v>
      </c>
      <c r="B87" s="119"/>
      <c r="C87" s="119"/>
      <c r="D87" s="119"/>
      <c r="E87" s="330">
        <f>H85</f>
        <v>2312000</v>
      </c>
      <c r="F87" s="331"/>
      <c r="G87" s="331"/>
      <c r="H87" s="332"/>
    </row>
    <row r="88" spans="1:9" ht="18.75" x14ac:dyDescent="0.3">
      <c r="A88" s="121" t="s">
        <v>57</v>
      </c>
      <c r="B88" s="120"/>
      <c r="C88" s="120"/>
      <c r="D88" s="120"/>
      <c r="E88" s="333" t="s">
        <v>84</v>
      </c>
      <c r="F88" s="333"/>
      <c r="G88" s="333"/>
      <c r="H88" s="333"/>
      <c r="I88" s="1"/>
    </row>
    <row r="89" spans="1:9" ht="15.75" thickBot="1" x14ac:dyDescent="0.3"/>
    <row r="90" spans="1:9" ht="20.25" thickBot="1" x14ac:dyDescent="0.3">
      <c r="A90" s="123" t="s">
        <v>29</v>
      </c>
      <c r="B90" s="25"/>
      <c r="C90" s="25"/>
      <c r="D90" s="25"/>
      <c r="E90" s="25"/>
      <c r="F90" s="25"/>
      <c r="G90" s="25"/>
      <c r="H90" s="71"/>
    </row>
    <row r="92" spans="1:9" ht="17.25" x14ac:dyDescent="0.25">
      <c r="A92" s="68" t="s">
        <v>15</v>
      </c>
      <c r="B92" s="69"/>
      <c r="C92" s="69"/>
      <c r="D92" s="70"/>
      <c r="E92" s="126">
        <f>IF($E$88="Medium",IF($E$87&gt;Data!D42,IF($E$87&gt;Data!D43,IF($E$87&gt;Data!D44,IF($E$87&gt;Data!D45,IF($E$87&gt;Data!D46,IF($E$87&gt;Data!D47,IF($E$87&gt;Data!D48,IF($E$87&gt;Data!D49,IF($E$87&gt;Data!D50,IF($E$87&gt;Data!D51,IF($E$87&gt;Data!D52,Data!E53,Data!E52),Data!E51),Data!E50),Data!E49),Data!E48),Data!E47),Data!E46),Data!E45),Data!E44),Data!E43),Data!E42),IF($E$88="High",(IF($E$87&gt;Data!D62,IF($E$87&gt;Data!D63,IF($E$87&gt;Data!D64,IF($E$87&gt;Data!D65,IF($E$87&gt;Data!D66,IF($E$87&gt;Data!D67,IF($E$87&gt;Data!D68,IF($E$87&gt;Data!D69,IF($E$87&gt;Data!D70,IF($E$87&gt;Data!D71,IF($E$87&gt;Data!D72,Data!E73,Data!E72),Data!E70),Data!E69),Data!E68),Data!E67),Data!E66),Data!E46),Data!E65),Data!E64),Data!E63),Data!E62)),IF($E$88="Low",(IF($E$87&gt;Data!D22,IF($E$87&gt;Data!D23,IF($E$87&gt;Data!D24,IF($E$87&gt;Data!D25,IF($E$87&gt;Data!D26,IF($E$87&gt;Data!D27,IF($E$87&gt;Data!D28,IF($E$87&gt;Data!D29,IF($E$87&gt;Data!D30,IF($E$87&gt;Data!D31,IF($E$87&gt;Data!D32,Data!E33,Data!E32),Data!E31),Data!E30),Data!E29),Data!E28),Data!E27),Data!E26),Data!E25),Data!E24),Data!E23),Data!E22)))))</f>
        <v>246281.11</v>
      </c>
      <c r="F92" s="73"/>
      <c r="G92" s="73"/>
      <c r="H92" s="74"/>
    </row>
    <row r="93" spans="1:9" ht="17.25" x14ac:dyDescent="0.25">
      <c r="A93" s="76" t="s">
        <v>33</v>
      </c>
      <c r="B93" s="27"/>
      <c r="C93" s="27"/>
      <c r="D93" s="77"/>
      <c r="E93" s="127">
        <f>IF($E$88="Medium",($E$87-(VLOOKUP($E$92,Data!E42:G53,3,FALSE)))*(VLOOKUP($E$92,Data!E42:G53,2,FALSE)),IF($E$88="High",($E$87-(VLOOKUP($E$92,Data!E62:G73,3,FALSE)))*(VLOOKUP($E$92,Data!E62:G73,2,FALSE)),IF($E$88="Low",($E$87-(VLOOKUP($E$92,Data!E21:G33,3,FALSE)))*(VLOOKUP($E$92,Data!E21:G33,2,FALSE)))))</f>
        <v>32447.896000000004</v>
      </c>
      <c r="F93" s="39"/>
      <c r="G93" s="39"/>
      <c r="H93" s="81"/>
    </row>
    <row r="94" spans="1:9" ht="17.25" x14ac:dyDescent="0.25">
      <c r="A94" s="76"/>
      <c r="B94" s="27"/>
      <c r="C94" s="27"/>
      <c r="D94" s="77"/>
      <c r="E94" s="127">
        <f>E92+E93</f>
        <v>278729.00599999999</v>
      </c>
      <c r="F94" s="39"/>
      <c r="G94" s="39"/>
      <c r="H94" s="81"/>
    </row>
    <row r="95" spans="1:9" ht="17.25" x14ac:dyDescent="0.25">
      <c r="A95" s="76" t="s">
        <v>35</v>
      </c>
      <c r="B95" s="27"/>
      <c r="C95" s="27"/>
      <c r="D95" s="77"/>
      <c r="E95" s="128">
        <v>0</v>
      </c>
      <c r="F95" s="4"/>
      <c r="G95" s="4"/>
      <c r="H95" s="84"/>
    </row>
    <row r="96" spans="1:9" ht="18" x14ac:dyDescent="0.25">
      <c r="A96" s="78" t="s">
        <v>37</v>
      </c>
      <c r="B96" s="79"/>
      <c r="C96" s="79"/>
      <c r="D96" s="80"/>
      <c r="E96" s="129">
        <f>E94+E95</f>
        <v>278729.00599999999</v>
      </c>
      <c r="F96" s="82"/>
      <c r="G96" s="82"/>
      <c r="H96" s="83"/>
    </row>
    <row r="97" spans="1:11" ht="15.75" thickBot="1" x14ac:dyDescent="0.3"/>
    <row r="98" spans="1:11" ht="19.5" thickBot="1" x14ac:dyDescent="0.35">
      <c r="A98" s="125" t="s">
        <v>27</v>
      </c>
      <c r="B98" s="85"/>
      <c r="C98" s="85"/>
      <c r="D98" s="86"/>
      <c r="E98" s="56" t="s">
        <v>28</v>
      </c>
      <c r="F98" s="56" t="s">
        <v>71</v>
      </c>
      <c r="G98" s="65" t="s">
        <v>46</v>
      </c>
      <c r="H98" s="56" t="s">
        <v>70</v>
      </c>
    </row>
    <row r="99" spans="1:11" ht="17.25" x14ac:dyDescent="0.3">
      <c r="A99" s="41" t="s">
        <v>77</v>
      </c>
      <c r="B99" s="66" t="s">
        <v>81</v>
      </c>
      <c r="C99" s="66"/>
      <c r="D99" s="66"/>
      <c r="E99" s="53">
        <v>0.02</v>
      </c>
      <c r="F99" s="40">
        <f>$E$96*E99</f>
        <v>5574.5801199999996</v>
      </c>
      <c r="G99" s="53">
        <v>0.3</v>
      </c>
      <c r="H99" s="54">
        <f>IF(G99=0,F99,F99-(F99*G99))</f>
        <v>3902.2060839999995</v>
      </c>
    </row>
    <row r="100" spans="1:11" ht="17.25" x14ac:dyDescent="0.3">
      <c r="A100" s="45" t="s">
        <v>76</v>
      </c>
      <c r="B100" s="3" t="s">
        <v>79</v>
      </c>
      <c r="C100" s="3"/>
      <c r="D100" s="3"/>
      <c r="E100" s="131">
        <v>0.15</v>
      </c>
      <c r="F100" s="5">
        <f t="shared" ref="F100:F105" si="5">$E$96*E100</f>
        <v>41809.350899999998</v>
      </c>
      <c r="G100" s="131">
        <v>0.3</v>
      </c>
      <c r="H100" s="44">
        <f t="shared" ref="H100:H105" si="6">IF(G100=0,F100,F100-(F100*G100))</f>
        <v>29266.545630000001</v>
      </c>
    </row>
    <row r="101" spans="1:11" ht="17.25" x14ac:dyDescent="0.3">
      <c r="A101" s="45" t="s">
        <v>75</v>
      </c>
      <c r="B101" s="3" t="s">
        <v>78</v>
      </c>
      <c r="C101" s="3"/>
      <c r="D101" s="3"/>
      <c r="E101" s="131">
        <v>0.2</v>
      </c>
      <c r="F101" s="5">
        <f t="shared" si="5"/>
        <v>55745.801200000002</v>
      </c>
      <c r="G101" s="131">
        <v>0.3</v>
      </c>
      <c r="H101" s="44">
        <f t="shared" si="6"/>
        <v>39022.060840000006</v>
      </c>
      <c r="J101" s="135"/>
    </row>
    <row r="102" spans="1:11" ht="17.25" x14ac:dyDescent="0.3">
      <c r="A102" s="45" t="s">
        <v>30</v>
      </c>
      <c r="B102" s="3" t="s">
        <v>31</v>
      </c>
      <c r="C102" s="3"/>
      <c r="D102" s="3"/>
      <c r="E102" s="131">
        <v>0.1</v>
      </c>
      <c r="F102" s="5">
        <f t="shared" si="5"/>
        <v>27872.900600000001</v>
      </c>
      <c r="G102" s="131">
        <v>0.2</v>
      </c>
      <c r="H102" s="44">
        <f t="shared" si="6"/>
        <v>22298.320480000002</v>
      </c>
      <c r="J102" s="135"/>
    </row>
    <row r="103" spans="1:11" ht="17.25" x14ac:dyDescent="0.3">
      <c r="A103" s="45" t="s">
        <v>38</v>
      </c>
      <c r="B103" s="3" t="s">
        <v>32</v>
      </c>
      <c r="C103" s="3"/>
      <c r="D103" s="3"/>
      <c r="E103" s="131">
        <v>0.2</v>
      </c>
      <c r="F103" s="5">
        <f t="shared" si="5"/>
        <v>55745.801200000002</v>
      </c>
      <c r="G103" s="131">
        <v>0.2</v>
      </c>
      <c r="H103" s="44">
        <f>IF(G103=0,F103,F103-(F103*G103))</f>
        <v>44596.640960000004</v>
      </c>
      <c r="J103" s="135"/>
    </row>
    <row r="104" spans="1:11" ht="17.25" x14ac:dyDescent="0.3">
      <c r="A104" s="45" t="s">
        <v>34</v>
      </c>
      <c r="B104" s="3" t="s">
        <v>80</v>
      </c>
      <c r="C104" s="3"/>
      <c r="D104" s="3"/>
      <c r="E104" s="131">
        <v>0.3</v>
      </c>
      <c r="F104" s="5">
        <f t="shared" si="5"/>
        <v>83618.701799999995</v>
      </c>
      <c r="G104" s="131">
        <v>0</v>
      </c>
      <c r="H104" s="44">
        <f>IF(G104=0,F104,F104-(F104*G104))</f>
        <v>83618.701799999995</v>
      </c>
      <c r="J104" s="135"/>
    </row>
    <row r="105" spans="1:11" ht="18" thickBot="1" x14ac:dyDescent="0.35">
      <c r="A105" s="46" t="s">
        <v>74</v>
      </c>
      <c r="B105" s="67" t="s">
        <v>73</v>
      </c>
      <c r="C105" s="67"/>
      <c r="D105" s="67"/>
      <c r="E105" s="55">
        <v>0.03</v>
      </c>
      <c r="F105" s="42">
        <f t="shared" si="5"/>
        <v>8361.8701799999999</v>
      </c>
      <c r="G105" s="55">
        <v>0</v>
      </c>
      <c r="H105" s="43">
        <f t="shared" si="6"/>
        <v>8361.8701799999999</v>
      </c>
      <c r="J105" s="136"/>
    </row>
    <row r="106" spans="1:11" ht="18" thickBot="1" x14ac:dyDescent="0.35">
      <c r="A106" s="1"/>
      <c r="B106" s="1"/>
      <c r="C106" s="1"/>
      <c r="F106" s="1"/>
      <c r="G106" s="3"/>
      <c r="H106" s="1"/>
    </row>
    <row r="107" spans="1:11" ht="18" thickBot="1" x14ac:dyDescent="0.35">
      <c r="A107" s="1"/>
      <c r="B107" s="1"/>
      <c r="C107" s="1"/>
      <c r="E107" s="327" t="s">
        <v>63</v>
      </c>
      <c r="F107" s="328"/>
      <c r="G107" s="329"/>
      <c r="H107" s="287">
        <f>H108*(1-(SUM(H99:H105)/H108))</f>
        <v>47662.660026000041</v>
      </c>
    </row>
    <row r="108" spans="1:11" ht="18" thickBot="1" x14ac:dyDescent="0.35">
      <c r="B108" s="57"/>
      <c r="C108" s="57"/>
      <c r="E108" s="327" t="s">
        <v>36</v>
      </c>
      <c r="F108" s="328"/>
      <c r="G108" s="329"/>
      <c r="H108" s="287">
        <f>SUM(F99:F105)</f>
        <v>278729.00599999999</v>
      </c>
    </row>
    <row r="109" spans="1:11" ht="15.75" thickBot="1" x14ac:dyDescent="0.3"/>
    <row r="110" spans="1:11" ht="18.75" thickBot="1" x14ac:dyDescent="0.3">
      <c r="E110" s="336" t="s">
        <v>68</v>
      </c>
      <c r="F110" s="337"/>
      <c r="G110" s="338"/>
      <c r="H110" s="58">
        <f>H108-H107</f>
        <v>231066.34597399994</v>
      </c>
    </row>
    <row r="111" spans="1:11" ht="17.25" x14ac:dyDescent="0.3">
      <c r="A111" s="1"/>
      <c r="B111" s="130"/>
      <c r="C111" s="108"/>
      <c r="D111" s="108"/>
      <c r="E111" s="26"/>
      <c r="F111" s="93"/>
      <c r="G111" s="4"/>
      <c r="H111" s="39"/>
    </row>
    <row r="112" spans="1:11" x14ac:dyDescent="0.25">
      <c r="K112" s="49"/>
    </row>
    <row r="113" spans="4:13" x14ac:dyDescent="0.25">
      <c r="D113" s="326"/>
      <c r="E113" s="326"/>
    </row>
    <row r="115" spans="4:13" x14ac:dyDescent="0.25">
      <c r="D115" s="326"/>
      <c r="E115" s="326"/>
    </row>
    <row r="116" spans="4:13" x14ac:dyDescent="0.25">
      <c r="M116" s="92"/>
    </row>
    <row r="117" spans="4:13" x14ac:dyDescent="0.25">
      <c r="D117" s="326"/>
      <c r="E117" s="326"/>
      <c r="F117" s="326"/>
      <c r="G117" s="326"/>
    </row>
    <row r="118" spans="4:13" x14ac:dyDescent="0.25">
      <c r="D118" s="326"/>
      <c r="E118" s="326"/>
      <c r="F118" s="326"/>
      <c r="G118" s="326"/>
    </row>
    <row r="119" spans="4:13" x14ac:dyDescent="0.25">
      <c r="D119" s="326"/>
      <c r="E119" s="326"/>
      <c r="F119" s="326"/>
      <c r="G119" s="326"/>
    </row>
    <row r="120" spans="4:13" x14ac:dyDescent="0.25">
      <c r="D120" s="326"/>
      <c r="E120" s="326"/>
      <c r="F120" s="326"/>
      <c r="G120" s="326"/>
    </row>
    <row r="121" spans="4:13" x14ac:dyDescent="0.25">
      <c r="D121" s="326"/>
      <c r="E121" s="326"/>
      <c r="F121" s="326"/>
      <c r="G121" s="326"/>
    </row>
    <row r="122" spans="4:13" x14ac:dyDescent="0.25">
      <c r="D122" s="326"/>
      <c r="E122" s="326"/>
      <c r="F122" s="326"/>
      <c r="G122" s="326"/>
    </row>
    <row r="123" spans="4:13" x14ac:dyDescent="0.25">
      <c r="D123" s="326"/>
      <c r="E123" s="326"/>
      <c r="F123" s="326"/>
      <c r="G123" s="326"/>
    </row>
    <row r="124" spans="4:13" x14ac:dyDescent="0.25">
      <c r="D124" s="326"/>
      <c r="E124" s="326"/>
      <c r="F124" s="326"/>
      <c r="G124" s="326"/>
    </row>
    <row r="126" spans="4:13" x14ac:dyDescent="0.25">
      <c r="D126" s="326"/>
      <c r="E126" s="326"/>
      <c r="F126" s="326"/>
      <c r="G126" s="326"/>
    </row>
    <row r="127" spans="4:13" ht="22.5" customHeight="1" x14ac:dyDescent="0.25"/>
    <row r="128" spans="4:13" x14ac:dyDescent="0.25">
      <c r="J128" s="132"/>
      <c r="L128" s="92"/>
    </row>
    <row r="129" spans="4:14" x14ac:dyDescent="0.25">
      <c r="L129" s="132"/>
    </row>
    <row r="130" spans="4:14" x14ac:dyDescent="0.25">
      <c r="M130" s="92"/>
    </row>
    <row r="132" spans="4:14" x14ac:dyDescent="0.25">
      <c r="M132" s="49"/>
    </row>
    <row r="135" spans="4:14" x14ac:dyDescent="0.25">
      <c r="N135" s="92"/>
    </row>
    <row r="137" spans="4:14" x14ac:dyDescent="0.25">
      <c r="K137" s="60"/>
    </row>
    <row r="138" spans="4:14" x14ac:dyDescent="0.25">
      <c r="K138" s="59"/>
    </row>
    <row r="139" spans="4:14" x14ac:dyDescent="0.25">
      <c r="D139" s="326"/>
      <c r="E139" s="326"/>
    </row>
    <row r="140" spans="4:14" x14ac:dyDescent="0.25">
      <c r="D140" s="326"/>
      <c r="E140" s="326"/>
    </row>
    <row r="141" spans="4:14" x14ac:dyDescent="0.25">
      <c r="D141" s="326"/>
      <c r="E141" s="326"/>
    </row>
  </sheetData>
  <mergeCells count="37">
    <mergeCell ref="E108:G108"/>
    <mergeCell ref="E110:G110"/>
    <mergeCell ref="D140:E140"/>
    <mergeCell ref="D118:E118"/>
    <mergeCell ref="D119:E119"/>
    <mergeCell ref="D120:E120"/>
    <mergeCell ref="D121:E121"/>
    <mergeCell ref="D122:E122"/>
    <mergeCell ref="D123:E123"/>
    <mergeCell ref="F126:G126"/>
    <mergeCell ref="D124:E124"/>
    <mergeCell ref="F124:G124"/>
    <mergeCell ref="D141:E141"/>
    <mergeCell ref="D139:E139"/>
    <mergeCell ref="E107:G107"/>
    <mergeCell ref="E87:H87"/>
    <mergeCell ref="E88:H88"/>
    <mergeCell ref="F117:G117"/>
    <mergeCell ref="F118:G118"/>
    <mergeCell ref="F119:G119"/>
    <mergeCell ref="F120:G120"/>
    <mergeCell ref="F121:G121"/>
    <mergeCell ref="F122:G122"/>
    <mergeCell ref="F123:G123"/>
    <mergeCell ref="D126:E126"/>
    <mergeCell ref="D117:E117"/>
    <mergeCell ref="D115:E115"/>
    <mergeCell ref="D113:E113"/>
    <mergeCell ref="A61:B61"/>
    <mergeCell ref="A65:B65"/>
    <mergeCell ref="A11:H11"/>
    <mergeCell ref="A13:C13"/>
    <mergeCell ref="A14:C14"/>
    <mergeCell ref="A15:B15"/>
    <mergeCell ref="A23:B23"/>
    <mergeCell ref="A29:B29"/>
    <mergeCell ref="F42:G42"/>
  </mergeCells>
  <phoneticPr fontId="23" type="noConversion"/>
  <conditionalFormatting sqref="H42">
    <cfRule type="cellIs" dxfId="1" priority="1" operator="lessThan">
      <formula>0</formula>
    </cfRule>
  </conditionalFormatting>
  <conditionalFormatting sqref="H48">
    <cfRule type="cellIs" dxfId="0" priority="2" operator="lessThan">
      <formula>0</formula>
    </cfRule>
  </conditionalFormatting>
  <dataValidations count="3">
    <dataValidation type="list" allowBlank="1" showInputMessage="1" showErrorMessage="1" sqref="E88" xr:uid="{ECF54CF7-43CA-4261-8A26-6CBCF5480061}">
      <formula1>"Low,Medium,High"</formula1>
    </dataValidation>
    <dataValidation type="list" allowBlank="1" showInputMessage="1" showErrorMessage="1" sqref="D66:D70 D36" xr:uid="{2BB1E22E-ADAA-4776-ABC7-D83DC0E96954}">
      <formula1>"Dewald, Hannes, Johan"</formula1>
    </dataValidation>
    <dataValidation type="list" allowBlank="1" showInputMessage="1" showErrorMessage="1" sqref="D16:D21 D24:D28 D30:D34" xr:uid="{B91E710B-48B7-4F1A-B8BB-C8744EAC391E}">
      <formula1>"Dewald, Hannes, Johan, Low"</formula1>
    </dataValidation>
  </dataValidations>
  <pageMargins left="0.7" right="0.7" top="0.75" bottom="0.75" header="0.3" footer="0.3"/>
  <pageSetup paperSize="9" orientation="portrait" r:id="rId1"/>
  <ignoredErrors>
    <ignoredError sqref="H41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3"/>
  <sheetViews>
    <sheetView zoomScale="85" zoomScaleNormal="85" workbookViewId="0">
      <selection activeCell="G11" sqref="G11"/>
    </sheetView>
  </sheetViews>
  <sheetFormatPr defaultRowHeight="17.25" x14ac:dyDescent="0.3"/>
  <cols>
    <col min="1" max="1" width="4.28515625" style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9.7109375" style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x14ac:dyDescent="0.3">
      <c r="B2" s="1" t="s">
        <v>58</v>
      </c>
    </row>
    <row r="3" spans="2:23" ht="18" thickBot="1" x14ac:dyDescent="0.35">
      <c r="J3"/>
      <c r="K3"/>
      <c r="L3"/>
    </row>
    <row r="4" spans="2:23" ht="18" thickBot="1" x14ac:dyDescent="0.35">
      <c r="B4" s="12" t="s">
        <v>26</v>
      </c>
      <c r="C4" s="13">
        <v>1200000</v>
      </c>
      <c r="J4"/>
      <c r="K4"/>
      <c r="L4"/>
      <c r="N4"/>
      <c r="O4"/>
      <c r="P4"/>
      <c r="Q4"/>
      <c r="R4"/>
      <c r="S4"/>
      <c r="T4"/>
      <c r="U4"/>
      <c r="V4"/>
      <c r="W4"/>
    </row>
    <row r="5" spans="2:23" x14ac:dyDescent="0.3">
      <c r="B5" s="1" t="s">
        <v>57</v>
      </c>
      <c r="C5" s="3" t="s">
        <v>84</v>
      </c>
      <c r="J5"/>
      <c r="K5"/>
      <c r="L5"/>
      <c r="N5"/>
      <c r="O5"/>
      <c r="P5"/>
      <c r="Q5"/>
      <c r="R5"/>
      <c r="S5"/>
      <c r="T5"/>
      <c r="U5"/>
      <c r="V5"/>
      <c r="W5"/>
    </row>
    <row r="6" spans="2:23" x14ac:dyDescent="0.3">
      <c r="N6"/>
      <c r="O6"/>
      <c r="P6"/>
      <c r="Q6"/>
      <c r="R6"/>
      <c r="S6"/>
      <c r="T6"/>
      <c r="U6"/>
      <c r="V6"/>
      <c r="W6"/>
    </row>
    <row r="7" spans="2:23" ht="18" thickBot="1" x14ac:dyDescent="0.35">
      <c r="N7"/>
      <c r="O7"/>
      <c r="P7"/>
      <c r="Q7"/>
      <c r="R7"/>
      <c r="S7"/>
      <c r="T7"/>
      <c r="U7"/>
      <c r="V7"/>
      <c r="W7"/>
    </row>
    <row r="8" spans="2:23" ht="18" thickBot="1" x14ac:dyDescent="0.35">
      <c r="B8" s="159" t="s">
        <v>29</v>
      </c>
      <c r="C8" s="160"/>
      <c r="M8"/>
      <c r="N8"/>
      <c r="O8"/>
      <c r="P8"/>
      <c r="Q8"/>
      <c r="R8"/>
      <c r="S8"/>
      <c r="T8"/>
      <c r="U8"/>
      <c r="V8"/>
      <c r="W8"/>
    </row>
    <row r="9" spans="2:23" x14ac:dyDescent="0.3">
      <c r="B9" s="14" t="s">
        <v>15</v>
      </c>
      <c r="C9" s="15">
        <f>IF(C5="Medium",IF($C$4&gt;D42,IF($C$4&gt;D43,IF($C$4&gt;D44,IF($C$4&gt;D45,IF($C$4&gt;D46,IF($C$4&gt;D47,IF($C$4&gt;D48,IF($C$4&gt;D49,IF($C$4&gt;D50,IF($C$4&gt;D51,IF($C$4&gt;D52,E53,E52),E51),E50),E49),E48),E47),E46),E45),E44),E43),E42),IF(C5="High",IF($C$4&gt;D62,IF($C$4&gt;D63,IF($C$4&gt;D64,IF($C$4&gt;D65,IF($C$4&gt;D66,IF($C$4&gt;D67,IF($C$4&gt;D68,IF($C$4&gt;D69,IF($C$4&gt;D70,IF($C$4&gt;D71,IF($C$4&gt;D72,E73,E72),E71),E70),E69),E68),E67),E66),E65),E64),E63),E62),IF(C5="Low",IF($C$4&gt;D22,IF($C$4&gt;D23,IF($C$4&gt;D24,IF($C$4&gt;D25,IF($C$4&gt;D26,IF($C$4&gt;D27,IF($C$4&gt;D28,IF($C$4&gt;D29,IF($C$4&gt;D30,IF($C$4&gt;D31,IF($C$4&gt;D32,E33,E32),E31),E30),E29),E28),E27),E26),E25),E24),E23),E22))))</f>
        <v>89897.22</v>
      </c>
      <c r="M9"/>
      <c r="N9"/>
      <c r="O9"/>
      <c r="P9"/>
      <c r="Q9"/>
      <c r="R9"/>
      <c r="S9"/>
      <c r="T9"/>
      <c r="U9"/>
      <c r="V9"/>
      <c r="W9"/>
    </row>
    <row r="10" spans="2:23" x14ac:dyDescent="0.3">
      <c r="B10" s="16" t="s">
        <v>33</v>
      </c>
      <c r="C10" s="17">
        <f>IF($C$5="Medium",($C$4-(VLOOKUP(C9,E42:G53,3,FALSE)))*(VLOOKUP(C9,E42:G53,2,FALSE)),IF($C$5="High",($C$4-(VLOOKUP(C9,E62:G73,3,FALSE)))*(VLOOKUP(C9,E62:G73,2,FALSE)),IF($C$5="Low",($C$4-(VLOOKUP(C9,E22:G33,3,FALSE)))*(VLOOKUP(C9,E22:G33,2,FALSE)))))</f>
        <v>63689.8842</v>
      </c>
      <c r="E10" s="5"/>
      <c r="M10"/>
      <c r="N10"/>
      <c r="O10"/>
      <c r="P10"/>
      <c r="Q10"/>
      <c r="R10"/>
      <c r="S10"/>
      <c r="T10"/>
      <c r="U10"/>
      <c r="V10"/>
      <c r="W10"/>
    </row>
    <row r="11" spans="2:23" x14ac:dyDescent="0.3">
      <c r="B11" s="16"/>
      <c r="C11" s="17">
        <f>C9+C10</f>
        <v>153587.1042</v>
      </c>
      <c r="M11"/>
      <c r="N11"/>
      <c r="O11"/>
      <c r="P11"/>
      <c r="Q11"/>
      <c r="R11"/>
      <c r="S11"/>
      <c r="T11"/>
      <c r="U11"/>
      <c r="V11"/>
      <c r="W11"/>
    </row>
    <row r="12" spans="2:23" ht="18" thickBot="1" x14ac:dyDescent="0.35">
      <c r="B12" s="18" t="s">
        <v>35</v>
      </c>
      <c r="C12" s="19">
        <v>0</v>
      </c>
      <c r="M12"/>
      <c r="N12"/>
      <c r="O12"/>
      <c r="P12"/>
      <c r="Q12"/>
      <c r="R12"/>
      <c r="S12"/>
      <c r="T12"/>
      <c r="U12"/>
      <c r="V12"/>
      <c r="W12"/>
    </row>
    <row r="13" spans="2:23" ht="18" thickBot="1" x14ac:dyDescent="0.35">
      <c r="B13" s="21" t="s">
        <v>37</v>
      </c>
      <c r="C13" s="20">
        <f>C11+C12</f>
        <v>153587.1042</v>
      </c>
      <c r="M13"/>
      <c r="N13"/>
      <c r="O13"/>
      <c r="P13"/>
      <c r="Q13"/>
      <c r="R13"/>
      <c r="S13"/>
      <c r="T13"/>
      <c r="U13"/>
      <c r="V13"/>
      <c r="W13"/>
    </row>
    <row r="14" spans="2:23" x14ac:dyDescent="0.3">
      <c r="M14"/>
      <c r="N14" s="326"/>
      <c r="O14" s="326"/>
      <c r="P14"/>
      <c r="Q14"/>
      <c r="R14"/>
      <c r="S14"/>
      <c r="T14"/>
      <c r="U14"/>
      <c r="V14"/>
      <c r="W14"/>
    </row>
    <row r="15" spans="2:23" x14ac:dyDescent="0.3">
      <c r="M15"/>
      <c r="N15"/>
      <c r="O15"/>
      <c r="P15"/>
      <c r="Q15"/>
      <c r="R15"/>
      <c r="S15"/>
      <c r="T15"/>
      <c r="U15"/>
      <c r="V15"/>
      <c r="W15"/>
    </row>
    <row r="16" spans="2:23" x14ac:dyDescent="0.3">
      <c r="N16"/>
      <c r="O16"/>
      <c r="P16"/>
      <c r="Q16"/>
      <c r="R16"/>
      <c r="S16"/>
      <c r="T16"/>
      <c r="U16"/>
      <c r="V16"/>
      <c r="W16"/>
    </row>
    <row r="17" spans="2:12" x14ac:dyDescent="0.3">
      <c r="B17" s="24" t="s">
        <v>65</v>
      </c>
      <c r="C17" s="24"/>
      <c r="D17" s="24"/>
      <c r="E17" s="24"/>
      <c r="F17" s="24"/>
      <c r="G17" s="24"/>
    </row>
    <row r="18" spans="2:12" x14ac:dyDescent="0.3">
      <c r="B18" s="7" t="s">
        <v>13</v>
      </c>
      <c r="C18" s="7" t="s">
        <v>14</v>
      </c>
      <c r="D18" s="7"/>
      <c r="E18" s="7" t="s">
        <v>15</v>
      </c>
      <c r="F18" s="286" t="s">
        <v>16</v>
      </c>
      <c r="G18" s="109"/>
      <c r="J18" s="95" t="s">
        <v>59</v>
      </c>
      <c r="K18" s="96">
        <f>IF($C$4&gt;D22,IF($C$4&gt;D23,IF($C$4&gt;D24,IF($C$4&gt;D25,IF($C$4&gt;D26,IF($C$4&gt;D27,IF($C$4&gt;D28,IF($C$4&gt;D29,IF($C$4&gt;D30,IF($C$4&gt;D31,IF($C$4&gt;D32,E33,E32),E31),E30),E29),E28),E27),100),E25),E24),E23),E22)</f>
        <v>89897.22</v>
      </c>
      <c r="L18" s="97">
        <f>VLOOKUP(K18,E22:G33,2,FALSE)</f>
        <v>0.1158</v>
      </c>
    </row>
    <row r="19" spans="2:12" x14ac:dyDescent="0.3">
      <c r="B19" s="7"/>
      <c r="C19" s="7"/>
      <c r="D19" s="7"/>
      <c r="E19" s="7"/>
      <c r="F19" s="7"/>
      <c r="G19" s="7"/>
      <c r="J19" s="37" t="s">
        <v>62</v>
      </c>
      <c r="K19" s="5">
        <f>K18+L20</f>
        <v>153587.1042</v>
      </c>
      <c r="L19" s="98">
        <f>VLOOKUP(K18,E22:G33,3,FALSE)</f>
        <v>650001</v>
      </c>
    </row>
    <row r="20" spans="2:12" x14ac:dyDescent="0.3">
      <c r="B20" s="7"/>
      <c r="C20" s="7" t="s">
        <v>17</v>
      </c>
      <c r="D20" s="7" t="s">
        <v>18</v>
      </c>
      <c r="E20" s="7"/>
      <c r="F20" s="7" t="s">
        <v>19</v>
      </c>
      <c r="G20" s="7" t="s">
        <v>20</v>
      </c>
      <c r="J20" s="99"/>
      <c r="K20" s="100" t="s">
        <v>66</v>
      </c>
      <c r="L20" s="101">
        <f>(C4-L19)*L18</f>
        <v>63689.8842</v>
      </c>
    </row>
    <row r="21" spans="2:12" x14ac:dyDescent="0.3">
      <c r="B21" s="7"/>
      <c r="C21" s="7" t="s">
        <v>21</v>
      </c>
      <c r="D21" s="7" t="s">
        <v>22</v>
      </c>
      <c r="E21" s="7" t="s">
        <v>23</v>
      </c>
      <c r="F21" s="7" t="s">
        <v>24</v>
      </c>
      <c r="G21" s="7" t="s">
        <v>25</v>
      </c>
    </row>
    <row r="22" spans="2:12" x14ac:dyDescent="0.3">
      <c r="B22" s="8">
        <v>1</v>
      </c>
      <c r="C22" s="9">
        <v>1</v>
      </c>
      <c r="D22" s="9">
        <v>200000</v>
      </c>
      <c r="E22" s="31">
        <v>9073.48</v>
      </c>
      <c r="F22" s="10">
        <v>0.14019999999999999</v>
      </c>
      <c r="G22" s="9">
        <v>1</v>
      </c>
    </row>
    <row r="23" spans="2:12" x14ac:dyDescent="0.3">
      <c r="B23" s="8">
        <v>2</v>
      </c>
      <c r="C23" s="9">
        <v>200001</v>
      </c>
      <c r="D23" s="9">
        <v>650000</v>
      </c>
      <c r="E23" s="31">
        <v>37121.339999999997</v>
      </c>
      <c r="F23" s="10">
        <v>0.1173</v>
      </c>
      <c r="G23" s="9">
        <v>200001</v>
      </c>
    </row>
    <row r="24" spans="2:12" x14ac:dyDescent="0.3">
      <c r="B24" s="8">
        <v>3</v>
      </c>
      <c r="C24" s="9">
        <v>650001</v>
      </c>
      <c r="D24" s="9">
        <v>2000000</v>
      </c>
      <c r="E24" s="31">
        <v>89897.22</v>
      </c>
      <c r="F24" s="10">
        <v>0.1158</v>
      </c>
      <c r="G24" s="9">
        <v>650001</v>
      </c>
    </row>
    <row r="25" spans="2:12" x14ac:dyDescent="0.3">
      <c r="B25" s="8">
        <v>4</v>
      </c>
      <c r="C25" s="9">
        <v>2000001</v>
      </c>
      <c r="D25" s="9">
        <v>4000000</v>
      </c>
      <c r="E25" s="31">
        <v>246281.11</v>
      </c>
      <c r="F25" s="10">
        <v>0.10400000000000001</v>
      </c>
      <c r="G25" s="9">
        <v>2000001</v>
      </c>
    </row>
    <row r="26" spans="2:12" x14ac:dyDescent="0.3">
      <c r="B26" s="8">
        <v>5</v>
      </c>
      <c r="C26" s="9">
        <v>4000001</v>
      </c>
      <c r="D26" s="9">
        <v>6500000</v>
      </c>
      <c r="E26" s="31">
        <v>454281</v>
      </c>
      <c r="F26" s="10">
        <v>0.1024</v>
      </c>
      <c r="G26" s="9">
        <v>4000001</v>
      </c>
    </row>
    <row r="27" spans="2:12" x14ac:dyDescent="0.3">
      <c r="B27" s="8">
        <v>6</v>
      </c>
      <c r="C27" s="9">
        <v>6500001</v>
      </c>
      <c r="D27" s="9">
        <v>13000000</v>
      </c>
      <c r="E27" s="31">
        <v>710280.9</v>
      </c>
      <c r="F27" s="10">
        <v>9.1999999999999998E-2</v>
      </c>
      <c r="G27" s="9">
        <v>6500001</v>
      </c>
    </row>
    <row r="28" spans="2:12" x14ac:dyDescent="0.3">
      <c r="B28" s="8">
        <v>7</v>
      </c>
      <c r="C28" s="9">
        <v>13000001</v>
      </c>
      <c r="D28" s="9">
        <v>40000000</v>
      </c>
      <c r="E28" s="31">
        <v>1308280.81</v>
      </c>
      <c r="F28" s="10">
        <v>8.6199999999999999E-2</v>
      </c>
      <c r="G28" s="9">
        <v>13000001</v>
      </c>
    </row>
    <row r="29" spans="2:12" x14ac:dyDescent="0.3">
      <c r="B29" s="8">
        <v>8</v>
      </c>
      <c r="C29" s="9">
        <v>40000001</v>
      </c>
      <c r="D29" s="9">
        <v>130000000</v>
      </c>
      <c r="E29" s="31">
        <v>3636760.72</v>
      </c>
      <c r="F29" s="10">
        <v>8.3599999999999994E-2</v>
      </c>
      <c r="G29" s="9">
        <v>40000001</v>
      </c>
    </row>
    <row r="30" spans="2:12" x14ac:dyDescent="0.3">
      <c r="B30" s="8">
        <v>9</v>
      </c>
      <c r="C30" s="9">
        <v>130000001</v>
      </c>
      <c r="D30" s="9">
        <v>260000000</v>
      </c>
      <c r="E30" s="31">
        <v>11160760.640000001</v>
      </c>
      <c r="F30" s="10">
        <v>8.1000000000000003E-2</v>
      </c>
      <c r="G30" s="9">
        <v>130000001</v>
      </c>
    </row>
    <row r="31" spans="2:12" x14ac:dyDescent="0.3">
      <c r="B31" s="8">
        <v>10</v>
      </c>
      <c r="C31" s="9">
        <v>260000001</v>
      </c>
      <c r="D31" s="9">
        <v>520000000</v>
      </c>
      <c r="E31" s="31">
        <v>21685560.559999999</v>
      </c>
      <c r="F31" s="10">
        <v>7.4800000000000005E-2</v>
      </c>
      <c r="G31" s="9">
        <v>260000001</v>
      </c>
    </row>
    <row r="32" spans="2:12" x14ac:dyDescent="0.3">
      <c r="B32" s="8">
        <v>11</v>
      </c>
      <c r="C32" s="9">
        <v>520000001</v>
      </c>
      <c r="D32" s="9">
        <v>1040000000</v>
      </c>
      <c r="E32" s="151">
        <v>41133560.479999997</v>
      </c>
      <c r="F32" s="10">
        <v>7.22E-2</v>
      </c>
      <c r="G32" s="9">
        <v>520000001</v>
      </c>
    </row>
    <row r="33" spans="2:12" x14ac:dyDescent="0.3">
      <c r="B33" s="8">
        <v>12</v>
      </c>
      <c r="C33" s="9">
        <v>1040000001</v>
      </c>
      <c r="D33" s="94" t="s">
        <v>155</v>
      </c>
      <c r="E33" s="151">
        <v>78656760.409999996</v>
      </c>
      <c r="F33" s="10">
        <v>7.0400000000000004E-2</v>
      </c>
      <c r="G33" s="9">
        <v>1040000001</v>
      </c>
    </row>
    <row r="37" spans="2:12" x14ac:dyDescent="0.3">
      <c r="B37" s="24" t="s">
        <v>39</v>
      </c>
      <c r="C37" s="24"/>
      <c r="D37" s="24"/>
      <c r="E37" s="24"/>
      <c r="F37" s="24"/>
      <c r="G37" s="24"/>
    </row>
    <row r="38" spans="2:12" x14ac:dyDescent="0.3">
      <c r="B38" s="7" t="s">
        <v>13</v>
      </c>
      <c r="C38" s="7" t="s">
        <v>14</v>
      </c>
      <c r="D38" s="7"/>
      <c r="E38" s="7" t="s">
        <v>15</v>
      </c>
      <c r="F38" s="286" t="s">
        <v>16</v>
      </c>
      <c r="G38" s="109"/>
      <c r="J38" s="95" t="s">
        <v>59</v>
      </c>
      <c r="K38" s="96">
        <f>IF($C$4&gt;D42,IF($C$4&gt;D43,IF($C$4&gt;D44,IF($C$4&gt;D45,IF($C$4&gt;D46,IF($C$4&gt;D47,IF($C$4&gt;D48,IF($C$4&gt;D49,IF($C$4&gt;D50,IF($C$4&gt;D51,IF($C$4&gt;D52,E53,E52),E51),E50),E49),E48),E47),100),E45),E44),E43),E42)</f>
        <v>112371.53</v>
      </c>
      <c r="L38" s="97">
        <f>VLOOKUP(K38,E42:G53,2,FALSE)</f>
        <v>0.14480000000000001</v>
      </c>
    </row>
    <row r="39" spans="2:12" x14ac:dyDescent="0.3">
      <c r="B39" s="7"/>
      <c r="C39" s="7"/>
      <c r="D39" s="7"/>
      <c r="E39" s="7"/>
      <c r="F39" s="7"/>
      <c r="G39" s="7"/>
      <c r="J39" s="37" t="s">
        <v>62</v>
      </c>
      <c r="K39" s="5">
        <f>K38+L40</f>
        <v>192011.38520000002</v>
      </c>
      <c r="L39" s="98">
        <f>VLOOKUP(K38,E42:G53,3,FALSE)</f>
        <v>650001</v>
      </c>
    </row>
    <row r="40" spans="2:12" x14ac:dyDescent="0.3">
      <c r="B40" s="7"/>
      <c r="C40" s="7" t="s">
        <v>17</v>
      </c>
      <c r="D40" s="7" t="s">
        <v>18</v>
      </c>
      <c r="E40" s="7"/>
      <c r="F40" s="7" t="s">
        <v>19</v>
      </c>
      <c r="G40" s="7" t="s">
        <v>20</v>
      </c>
      <c r="J40" s="99"/>
      <c r="K40" s="100" t="s">
        <v>66</v>
      </c>
      <c r="L40" s="101">
        <f>(C4-L39)*L38</f>
        <v>79639.855200000005</v>
      </c>
    </row>
    <row r="41" spans="2:12" x14ac:dyDescent="0.3">
      <c r="B41" s="7"/>
      <c r="C41" s="7" t="s">
        <v>21</v>
      </c>
      <c r="D41" s="7" t="s">
        <v>22</v>
      </c>
      <c r="E41" s="7" t="s">
        <v>23</v>
      </c>
      <c r="F41" s="7" t="s">
        <v>24</v>
      </c>
      <c r="G41" s="7" t="s">
        <v>25</v>
      </c>
    </row>
    <row r="42" spans="2:12" x14ac:dyDescent="0.3">
      <c r="B42" s="8">
        <v>1</v>
      </c>
      <c r="C42" s="9">
        <v>1</v>
      </c>
      <c r="D42" s="9">
        <v>200000</v>
      </c>
      <c r="E42" s="31">
        <v>11341.85</v>
      </c>
      <c r="F42" s="10">
        <v>0.17530000000000001</v>
      </c>
      <c r="G42" s="9">
        <v>1</v>
      </c>
    </row>
    <row r="43" spans="2:12" x14ac:dyDescent="0.3">
      <c r="B43" s="8">
        <v>2</v>
      </c>
      <c r="C43" s="9">
        <v>200001</v>
      </c>
      <c r="D43" s="9">
        <v>650000</v>
      </c>
      <c r="E43" s="31">
        <v>46401.67</v>
      </c>
      <c r="F43" s="10">
        <v>0.14660000000000001</v>
      </c>
      <c r="G43" s="9">
        <v>200001</v>
      </c>
    </row>
    <row r="44" spans="2:12" x14ac:dyDescent="0.3">
      <c r="B44" s="8">
        <v>3</v>
      </c>
      <c r="C44" s="9">
        <v>650001</v>
      </c>
      <c r="D44" s="9">
        <v>2000000</v>
      </c>
      <c r="E44" s="31">
        <v>112371.53</v>
      </c>
      <c r="F44" s="10">
        <v>0.14480000000000001</v>
      </c>
      <c r="G44" s="9">
        <v>650001</v>
      </c>
    </row>
    <row r="45" spans="2:12" x14ac:dyDescent="0.3">
      <c r="B45" s="8">
        <v>4</v>
      </c>
      <c r="C45" s="9">
        <v>2000001</v>
      </c>
      <c r="D45" s="9">
        <v>4000000</v>
      </c>
      <c r="E45" s="31">
        <v>307851.38</v>
      </c>
      <c r="F45" s="10">
        <v>0.13</v>
      </c>
      <c r="G45" s="9">
        <v>2000001</v>
      </c>
    </row>
    <row r="46" spans="2:12" x14ac:dyDescent="0.3">
      <c r="B46" s="8">
        <v>5</v>
      </c>
      <c r="C46" s="9">
        <v>4000001</v>
      </c>
      <c r="D46" s="9">
        <v>6500000</v>
      </c>
      <c r="E46" s="31">
        <v>567851.25</v>
      </c>
      <c r="F46" s="10">
        <v>0.128</v>
      </c>
      <c r="G46" s="9">
        <v>4000001</v>
      </c>
      <c r="K46" s="5"/>
      <c r="L46" s="50"/>
    </row>
    <row r="47" spans="2:12" x14ac:dyDescent="0.3">
      <c r="B47" s="8">
        <v>6</v>
      </c>
      <c r="C47" s="9">
        <v>6500001</v>
      </c>
      <c r="D47" s="9">
        <v>13000000</v>
      </c>
      <c r="E47" s="31">
        <v>887851.13</v>
      </c>
      <c r="F47" s="10">
        <v>0.115</v>
      </c>
      <c r="G47" s="9">
        <v>6500001</v>
      </c>
    </row>
    <row r="48" spans="2:12" x14ac:dyDescent="0.3">
      <c r="B48" s="8">
        <v>7</v>
      </c>
      <c r="C48" s="9">
        <v>13000001</v>
      </c>
      <c r="D48" s="9">
        <v>40000000</v>
      </c>
      <c r="E48" s="31">
        <v>1635351.01</v>
      </c>
      <c r="F48" s="10">
        <v>0.10779999999999999</v>
      </c>
      <c r="G48" s="9">
        <v>13000001</v>
      </c>
      <c r="L48" s="5"/>
    </row>
    <row r="49" spans="2:12" x14ac:dyDescent="0.3">
      <c r="B49" s="8">
        <v>8</v>
      </c>
      <c r="C49" s="9">
        <v>40000001</v>
      </c>
      <c r="D49" s="9">
        <v>130000000</v>
      </c>
      <c r="E49" s="31">
        <v>4545950.9000000004</v>
      </c>
      <c r="F49" s="10">
        <v>0.1045</v>
      </c>
      <c r="G49" s="9">
        <v>40000001</v>
      </c>
    </row>
    <row r="50" spans="2:12" x14ac:dyDescent="0.3">
      <c r="B50" s="8">
        <v>9</v>
      </c>
      <c r="C50" s="9">
        <v>130000001</v>
      </c>
      <c r="D50" s="9">
        <v>260000000</v>
      </c>
      <c r="E50" s="31">
        <v>13950950.800000001</v>
      </c>
      <c r="F50" s="10">
        <v>0.1012</v>
      </c>
      <c r="G50" s="9">
        <v>130000001</v>
      </c>
      <c r="K50" s="5"/>
      <c r="L50" s="5"/>
    </row>
    <row r="51" spans="2:12" x14ac:dyDescent="0.3">
      <c r="B51" s="8">
        <v>10</v>
      </c>
      <c r="C51" s="9">
        <v>260000001</v>
      </c>
      <c r="D51" s="9">
        <v>520000000</v>
      </c>
      <c r="E51" s="31">
        <v>27106950.699999999</v>
      </c>
      <c r="F51" s="10">
        <v>9.35E-2</v>
      </c>
      <c r="G51" s="9">
        <v>260000001</v>
      </c>
    </row>
    <row r="52" spans="2:12" x14ac:dyDescent="0.3">
      <c r="B52" s="8">
        <v>11</v>
      </c>
      <c r="C52" s="9">
        <v>520000001</v>
      </c>
      <c r="D52" s="9">
        <v>1040000000</v>
      </c>
      <c r="E52" s="151">
        <v>51416950.600000001</v>
      </c>
      <c r="F52" s="10">
        <v>9.0200000000000002E-2</v>
      </c>
      <c r="G52" s="9">
        <v>520000001</v>
      </c>
    </row>
    <row r="53" spans="2:12" x14ac:dyDescent="0.3">
      <c r="B53" s="8">
        <v>12</v>
      </c>
      <c r="C53" s="9">
        <v>1040000001</v>
      </c>
      <c r="D53" s="94" t="s">
        <v>155</v>
      </c>
      <c r="E53" s="151">
        <v>98320950.510000005</v>
      </c>
      <c r="F53" s="10">
        <v>8.8000000000000009E-2</v>
      </c>
      <c r="G53" s="9">
        <v>1040000001</v>
      </c>
    </row>
    <row r="57" spans="2:12" x14ac:dyDescent="0.3">
      <c r="B57" s="285" t="s">
        <v>12</v>
      </c>
      <c r="C57" s="285"/>
      <c r="D57" s="285"/>
      <c r="E57" s="285"/>
      <c r="F57" s="285"/>
      <c r="G57" s="285"/>
    </row>
    <row r="58" spans="2:12" x14ac:dyDescent="0.3">
      <c r="B58" s="284" t="s">
        <v>13</v>
      </c>
      <c r="C58" s="284" t="s">
        <v>14</v>
      </c>
      <c r="D58" s="284"/>
      <c r="E58" s="284" t="s">
        <v>15</v>
      </c>
      <c r="F58" s="284" t="s">
        <v>16</v>
      </c>
      <c r="G58" s="284"/>
      <c r="J58" s="95" t="s">
        <v>59</v>
      </c>
      <c r="K58" s="96">
        <f>IF($C$4&gt;D62,IF($C$4&gt;D63,IF($C$4&gt;D64,IF($C$4&gt;D65,IF($C$4&gt;D66,IF($C$4&gt;D67,IF($C$4&gt;D68,IF($C$4&gt;D69,IF($C$4&gt;D70,IF($C$4&gt;D71,IF($C$4&gt;D72,E73,E72),E70),E69),E68),E67),E66),100),E65),E64),E63),E62)</f>
        <v>134845.82999999999</v>
      </c>
      <c r="L58" s="97">
        <f>VLOOKUP(K58,E62:G73,2,FALSE)</f>
        <v>0.17379999999999998</v>
      </c>
    </row>
    <row r="59" spans="2:12" x14ac:dyDescent="0.3">
      <c r="B59" s="284"/>
      <c r="C59" s="7"/>
      <c r="D59" s="7"/>
      <c r="E59" s="284"/>
      <c r="F59" s="7"/>
      <c r="G59" s="7"/>
      <c r="J59" s="37" t="s">
        <v>62</v>
      </c>
      <c r="K59" s="5">
        <f>K58+L60</f>
        <v>230435.65619999997</v>
      </c>
      <c r="L59" s="98">
        <f>VLOOKUP(K58,E62:G73,3,FALSE)</f>
        <v>650001</v>
      </c>
    </row>
    <row r="60" spans="2:12" x14ac:dyDescent="0.3">
      <c r="B60" s="284"/>
      <c r="C60" s="7" t="s">
        <v>17</v>
      </c>
      <c r="D60" s="7" t="s">
        <v>18</v>
      </c>
      <c r="E60" s="284"/>
      <c r="F60" s="7" t="s">
        <v>19</v>
      </c>
      <c r="G60" s="7" t="s">
        <v>20</v>
      </c>
      <c r="J60" s="99"/>
      <c r="K60" s="100" t="s">
        <v>66</v>
      </c>
      <c r="L60" s="101">
        <f>(C4-L59)*L58</f>
        <v>95589.826199999996</v>
      </c>
    </row>
    <row r="61" spans="2:12" x14ac:dyDescent="0.3">
      <c r="B61" s="284"/>
      <c r="C61" s="7" t="s">
        <v>21</v>
      </c>
      <c r="D61" s="7" t="s">
        <v>22</v>
      </c>
      <c r="E61" s="7" t="s">
        <v>23</v>
      </c>
      <c r="F61" s="7" t="s">
        <v>24</v>
      </c>
      <c r="G61" s="7" t="s">
        <v>25</v>
      </c>
    </row>
    <row r="62" spans="2:12" x14ac:dyDescent="0.3">
      <c r="B62" s="8">
        <v>1</v>
      </c>
      <c r="C62" s="9">
        <v>1</v>
      </c>
      <c r="D62" s="9">
        <v>200000</v>
      </c>
      <c r="E62" s="151">
        <v>13610.22</v>
      </c>
      <c r="F62" s="10">
        <v>0.2104</v>
      </c>
      <c r="G62" s="9">
        <v>1</v>
      </c>
    </row>
    <row r="63" spans="2:12" x14ac:dyDescent="0.3">
      <c r="B63" s="8">
        <v>2</v>
      </c>
      <c r="C63" s="9">
        <v>200001</v>
      </c>
      <c r="D63" s="9">
        <v>650000</v>
      </c>
      <c r="E63" s="151">
        <v>55682.01</v>
      </c>
      <c r="F63" s="10">
        <v>0.1759</v>
      </c>
      <c r="G63" s="9">
        <v>200001</v>
      </c>
    </row>
    <row r="64" spans="2:12" x14ac:dyDescent="0.3">
      <c r="B64" s="8">
        <v>3</v>
      </c>
      <c r="C64" s="9">
        <v>650001</v>
      </c>
      <c r="D64" s="9">
        <v>2000000</v>
      </c>
      <c r="E64" s="151">
        <v>134845.82999999999</v>
      </c>
      <c r="F64" s="10">
        <v>0.17379999999999998</v>
      </c>
      <c r="G64" s="9">
        <v>650001</v>
      </c>
      <c r="K64" s="5"/>
    </row>
    <row r="65" spans="2:12" x14ac:dyDescent="0.3">
      <c r="B65" s="8">
        <v>4</v>
      </c>
      <c r="C65" s="9">
        <v>2000001</v>
      </c>
      <c r="D65" s="9">
        <v>4000000</v>
      </c>
      <c r="E65" s="151">
        <v>369421.66</v>
      </c>
      <c r="F65" s="10">
        <v>0.156</v>
      </c>
      <c r="G65" s="9">
        <v>2000001</v>
      </c>
    </row>
    <row r="66" spans="2:12" x14ac:dyDescent="0.3">
      <c r="B66" s="8">
        <v>5</v>
      </c>
      <c r="C66" s="9">
        <v>4000001</v>
      </c>
      <c r="D66" s="9">
        <v>6500000</v>
      </c>
      <c r="E66" s="151">
        <v>681421.5</v>
      </c>
      <c r="F66" s="10">
        <v>0.15359999999999999</v>
      </c>
      <c r="G66" s="9">
        <v>4000001</v>
      </c>
    </row>
    <row r="67" spans="2:12" x14ac:dyDescent="0.3">
      <c r="B67" s="8">
        <v>6</v>
      </c>
      <c r="C67" s="9">
        <v>6500001</v>
      </c>
      <c r="D67" s="9">
        <v>13000000</v>
      </c>
      <c r="E67" s="151">
        <v>1065421.3500000001</v>
      </c>
      <c r="F67" s="10">
        <v>0.13800000000000001</v>
      </c>
      <c r="G67" s="9">
        <v>6500001</v>
      </c>
      <c r="L67" s="22"/>
    </row>
    <row r="68" spans="2:12" x14ac:dyDescent="0.3">
      <c r="B68" s="8">
        <v>7</v>
      </c>
      <c r="C68" s="9">
        <v>13000001</v>
      </c>
      <c r="D68" s="9">
        <v>40000000</v>
      </c>
      <c r="E68" s="151">
        <v>1962421.21</v>
      </c>
      <c r="F68" s="10">
        <v>0.12939999999999999</v>
      </c>
      <c r="G68" s="9">
        <v>13000001</v>
      </c>
      <c r="K68" s="47"/>
      <c r="L68" s="30"/>
    </row>
    <row r="69" spans="2:12" x14ac:dyDescent="0.3">
      <c r="B69" s="8">
        <v>8</v>
      </c>
      <c r="C69" s="9">
        <v>40000001</v>
      </c>
      <c r="D69" s="9">
        <v>130000000</v>
      </c>
      <c r="E69" s="151">
        <v>5455141.0800000001</v>
      </c>
      <c r="F69" s="10">
        <v>0.12539999999999998</v>
      </c>
      <c r="G69" s="9">
        <v>40000001</v>
      </c>
    </row>
    <row r="70" spans="2:12" x14ac:dyDescent="0.3">
      <c r="B70" s="8">
        <v>9</v>
      </c>
      <c r="C70" s="9">
        <v>130000001</v>
      </c>
      <c r="D70" s="9">
        <v>260000000</v>
      </c>
      <c r="E70" s="151">
        <v>16741140.960000001</v>
      </c>
      <c r="F70" s="10">
        <v>0.12140000000000001</v>
      </c>
      <c r="G70" s="9">
        <v>130000001</v>
      </c>
      <c r="K70" s="47"/>
    </row>
    <row r="71" spans="2:12" x14ac:dyDescent="0.3">
      <c r="B71" s="8">
        <v>10</v>
      </c>
      <c r="C71" s="9">
        <v>260000001</v>
      </c>
      <c r="D71" s="9">
        <v>520000000</v>
      </c>
      <c r="E71" s="151">
        <v>32528340.84</v>
      </c>
      <c r="F71" s="10">
        <v>0.11220000000000001</v>
      </c>
      <c r="G71" s="9">
        <v>260000001</v>
      </c>
    </row>
    <row r="72" spans="2:12" x14ac:dyDescent="0.3">
      <c r="B72" s="8">
        <v>11</v>
      </c>
      <c r="C72" s="9">
        <v>520000001</v>
      </c>
      <c r="D72" s="9">
        <v>1040000000</v>
      </c>
      <c r="E72" s="151">
        <v>61700340.719999999</v>
      </c>
      <c r="F72" s="10">
        <v>0.1082</v>
      </c>
      <c r="G72" s="9">
        <v>520000001</v>
      </c>
      <c r="L72" s="5"/>
    </row>
    <row r="73" spans="2:12" x14ac:dyDescent="0.3">
      <c r="B73" s="8">
        <v>12</v>
      </c>
      <c r="C73" s="9">
        <v>1040000001</v>
      </c>
      <c r="D73" s="94" t="s">
        <v>155</v>
      </c>
      <c r="E73" s="151">
        <v>117985140.59999999</v>
      </c>
      <c r="F73" s="10">
        <v>0.1056</v>
      </c>
      <c r="G73" s="9">
        <v>1040000001</v>
      </c>
    </row>
  </sheetData>
  <mergeCells count="1">
    <mergeCell ref="N14:O14"/>
  </mergeCells>
  <dataValidations count="1">
    <dataValidation type="list" allowBlank="1" showInputMessage="1" showErrorMessage="1" sqref="C5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 Fees (MS)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cp:lastPrinted>2022-09-21T07:15:25Z</cp:lastPrinted>
  <dcterms:created xsi:type="dcterms:W3CDTF">2022-07-11T17:42:49Z</dcterms:created>
  <dcterms:modified xsi:type="dcterms:W3CDTF">2026-07-27T11:47:29Z</dcterms:modified>
</cp:coreProperties>
</file>