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25 - Cherri Morton (PM)\"/>
    </mc:Choice>
  </mc:AlternateContent>
  <xr:revisionPtr revIDLastSave="0" documentId="13_ncr:1_{ABFEF5DC-E7E1-4A6F-8E15-6BAB7D465594}" xr6:coauthVersionLast="47" xr6:coauthVersionMax="47" xr10:uidLastSave="{00000000-0000-0000-0000-000000000000}"/>
  <bookViews>
    <workbookView xWindow="22932" yWindow="-192" windowWidth="23256" windowHeight="12456" activeTab="2" xr2:uid="{260A762B-E942-4A40-AAE5-7E980C9B525F}"/>
  </bookViews>
  <sheets>
    <sheet name="Employees" sheetId="1" r:id="rId1"/>
    <sheet name=" Fees (MS)" sheetId="3" r:id="rId2"/>
    <sheet name="Project Management" sheetId="4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4" l="1"/>
  <c r="F6" i="4"/>
  <c r="F8" i="4"/>
  <c r="F10" i="4" s="1"/>
  <c r="F37" i="4"/>
  <c r="F36" i="4"/>
  <c r="R34" i="4"/>
  <c r="Q34" i="4"/>
  <c r="P34" i="4"/>
  <c r="O34" i="4"/>
  <c r="M34" i="4"/>
  <c r="M38" i="4"/>
  <c r="L32" i="4"/>
  <c r="M32" i="4" s="1"/>
  <c r="F35" i="4" s="1"/>
  <c r="H27" i="3"/>
  <c r="H26" i="3"/>
  <c r="G26" i="3"/>
  <c r="H52" i="3"/>
  <c r="H48" i="3"/>
  <c r="H47" i="3"/>
  <c r="H46" i="3" s="1"/>
  <c r="H42" i="3"/>
  <c r="H41" i="3" s="1"/>
  <c r="H22" i="3"/>
  <c r="G22" i="3"/>
  <c r="H21" i="3"/>
  <c r="G21" i="3"/>
  <c r="F16" i="3"/>
  <c r="G16" i="3" s="1"/>
  <c r="H18" i="3"/>
  <c r="H17" i="3"/>
  <c r="G17" i="3"/>
  <c r="H25" i="3"/>
  <c r="H28" i="3"/>
  <c r="H54" i="3"/>
  <c r="D36" i="1"/>
  <c r="D34" i="1"/>
  <c r="H20" i="3" l="1"/>
  <c r="H24" i="3"/>
  <c r="H16" i="3"/>
  <c r="H15" i="3" s="1"/>
  <c r="G21" i="1"/>
  <c r="G15" i="1"/>
  <c r="H15" i="1" s="1"/>
  <c r="C21" i="1" s="1"/>
  <c r="G27" i="3"/>
  <c r="G25" i="3"/>
  <c r="H51" i="3"/>
  <c r="H53" i="3"/>
  <c r="H50" i="3" s="1"/>
  <c r="H56" i="3" s="1"/>
  <c r="H57" i="3" s="1"/>
  <c r="O28" i="1"/>
  <c r="O41" i="1"/>
  <c r="O44" i="1" s="1"/>
  <c r="D33" i="1" s="1"/>
  <c r="O37" i="1"/>
  <c r="O36" i="1"/>
  <c r="O35" i="1"/>
  <c r="N34" i="1"/>
  <c r="O34" i="1" s="1"/>
  <c r="O29" i="1"/>
  <c r="C42" i="1"/>
  <c r="N27" i="1" s="1"/>
  <c r="O27" i="1" s="1"/>
  <c r="D35" i="1"/>
  <c r="D30" i="1"/>
  <c r="G14" i="1"/>
  <c r="H14" i="1" s="1"/>
  <c r="J42" i="1" s="1"/>
  <c r="G13" i="1"/>
  <c r="H13" i="1" s="1"/>
  <c r="D42" i="1" s="1"/>
  <c r="H32" i="3" l="1"/>
  <c r="J26" i="1"/>
  <c r="O38" i="1"/>
  <c r="J25" i="1" s="1"/>
  <c r="H65" i="3" l="1"/>
  <c r="G30" i="3"/>
  <c r="G31" i="3"/>
  <c r="G28" i="3"/>
  <c r="G15" i="3" s="1"/>
  <c r="G69" i="3" l="1"/>
  <c r="C14" i="2" l="1"/>
  <c r="C15" i="2" s="1"/>
  <c r="K63" i="2"/>
  <c r="K44" i="3"/>
  <c r="M70" i="3"/>
  <c r="M69" i="3"/>
  <c r="M68" i="3"/>
  <c r="M67" i="3"/>
  <c r="M66" i="3"/>
  <c r="M65" i="3"/>
  <c r="M64" i="3"/>
  <c r="M63" i="3"/>
  <c r="L63" i="2" l="1"/>
  <c r="H58" i="3"/>
  <c r="L64" i="2"/>
  <c r="H69" i="3"/>
  <c r="M71" i="3"/>
  <c r="L65" i="2" l="1"/>
  <c r="K64" i="2" s="1"/>
  <c r="E71" i="3"/>
  <c r="E76" i="3" s="1"/>
  <c r="E5" i="2"/>
  <c r="E77" i="3" l="1"/>
  <c r="F14" i="4"/>
  <c r="K25" i="2"/>
  <c r="K44" i="2"/>
  <c r="F15" i="4" l="1"/>
  <c r="F16" i="4" s="1"/>
  <c r="E78" i="3"/>
  <c r="E80" i="3" s="1"/>
  <c r="F86" i="3" s="1"/>
  <c r="H86" i="3" s="1"/>
  <c r="F83" i="3"/>
  <c r="H83" i="3" s="1"/>
  <c r="F89" i="3"/>
  <c r="L45" i="2"/>
  <c r="L44" i="2"/>
  <c r="L26" i="2"/>
  <c r="L25" i="2"/>
  <c r="C16" i="2"/>
  <c r="C18" i="2" s="1"/>
  <c r="E20" i="4" l="1"/>
  <c r="E23" i="4"/>
  <c r="F23" i="4" s="1"/>
  <c r="F25" i="4" s="1"/>
  <c r="F28" i="4" s="1"/>
  <c r="F29" i="4" s="1"/>
  <c r="F32" i="4" s="1"/>
  <c r="F38" i="4" s="1"/>
  <c r="E18" i="4"/>
  <c r="E22" i="4"/>
  <c r="E24" i="4"/>
  <c r="F24" i="4" s="1"/>
  <c r="E21" i="4"/>
  <c r="E19" i="4"/>
  <c r="F87" i="3"/>
  <c r="H87" i="3" s="1"/>
  <c r="F84" i="3"/>
  <c r="F88" i="3"/>
  <c r="H88" i="3" s="1"/>
  <c r="F85" i="3"/>
  <c r="H85" i="3" s="1"/>
  <c r="H89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4" i="3" l="1"/>
  <c r="H92" i="3"/>
  <c r="H91" i="3"/>
  <c r="H94" i="3" s="1"/>
  <c r="Q14" i="2"/>
  <c r="W9" i="2"/>
  <c r="S9" i="2" s="1"/>
  <c r="S15" i="2" s="1"/>
  <c r="F15" i="3" l="1"/>
  <c r="M15" i="3" l="1"/>
  <c r="O31" i="1"/>
  <c r="D37" i="1" s="1"/>
  <c r="J30" i="1" l="1"/>
  <c r="J29" i="1"/>
  <c r="J28" i="1"/>
  <c r="J27" i="1"/>
  <c r="D39" i="1"/>
  <c r="D40" i="1" l="1"/>
  <c r="D44" i="1" s="1"/>
  <c r="J39" i="1"/>
  <c r="J40" i="1" s="1"/>
  <c r="J44" i="1" s="1"/>
  <c r="J46" i="1" s="1"/>
  <c r="D46" i="1" l="1"/>
  <c r="D47" i="1" s="1"/>
  <c r="J47" i="1"/>
  <c r="C19" i="1" l="1"/>
  <c r="G19" i="1" s="1"/>
  <c r="C20" i="1"/>
  <c r="G20" i="1" s="1"/>
  <c r="F5" i="2" l="1"/>
  <c r="G5" i="2" s="1"/>
  <c r="H5" i="2" s="1"/>
  <c r="H33" i="3" l="1"/>
  <c r="H34" i="3" s="1"/>
  <c r="J32" i="3" s="1"/>
  <c r="M17" i="3" l="1"/>
  <c r="L42" i="3"/>
  <c r="K32" i="3"/>
  <c r="L32" i="3" s="1"/>
  <c r="N32" i="3" s="1"/>
  <c r="M32" i="3" s="1"/>
  <c r="M34" i="3" s="1"/>
  <c r="M36" i="3" s="1"/>
  <c r="L43" i="3"/>
  <c r="L41" i="3"/>
  <c r="L44" i="3" l="1"/>
</calcChain>
</file>

<file path=xl/sharedStrings.xml><?xml version="1.0" encoding="utf-8"?>
<sst xmlns="http://schemas.openxmlformats.org/spreadsheetml/2006/main" count="320" uniqueCount="202">
  <si>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</si>
  <si>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</si>
  <si>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</si>
  <si>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</si>
  <si>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</si>
  <si>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</si>
  <si>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</si>
  <si>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</si>
  <si>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</si>
  <si>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</si>
  <si>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</si>
  <si>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</si>
  <si>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</si>
  <si>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</si>
  <si>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</si>
  <si>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</si>
  <si>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</si>
  <si>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</si>
  <si>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</si>
  <si>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</si>
  <si>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</si>
  <si>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</si>
  <si>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</si>
  <si>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</si>
  <si>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</si>
  <si>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</si>
  <si>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</si>
  <si>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</si>
  <si>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</si>
  <si>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</si>
  <si>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</si>
  <si>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</si>
  <si>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</si>
  <si>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</si>
  <si>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</si>
  <si>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</si>
  <si>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</si>
  <si>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</si>
  <si>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</si>
  <si>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</si>
  <si>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</si>
  <si>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</si>
  <si>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</si>
  <si>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</si>
  <si>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</si>
  <si>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</si>
  <si>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</si>
  <si>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</si>
  <si>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</si>
  <si>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</si>
  <si>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</si>
  <si>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</si>
  <si>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</si>
  <si>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</si>
  <si>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</si>
  <si>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</si>
  <si>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</si>
  <si>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</si>
  <si>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</si>
  <si>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</si>
  <si>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</si>
  <si>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</si>
  <si>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</si>
  <si>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</si>
  <si>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</si>
  <si>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</si>
  <si>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</si>
  <si>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</si>
  <si>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</si>
  <si>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</si>
  <si>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</si>
  <si>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</si>
  <si>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</si>
  <si>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</si>
  <si>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</si>
  <si>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</si>
  <si>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</si>
  <si>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</si>
  <si>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</si>
  <si>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</si>
  <si>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</si>
  <si>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</si>
  <si>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</si>
  <si>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</si>
  <si>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</si>
  <si>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</si>
  <si>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</si>
  <si>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</si>
  <si>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</si>
  <si>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</si>
  <si>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</si>
  <si>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</si>
  <si>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</si>
  <si>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</si>
  <si>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</si>
  <si>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</si>
  <si>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</si>
  <si>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</si>
  <si>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</si>
  <si>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</si>
  <si>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</si>
  <si>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</si>
  <si>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</si>
  <si>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</si>
  <si>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</si>
  <si>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</si>
  <si>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</si>
  <si>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</si>
  <si>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</si>
  <si>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</si>
  <si>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</si>
  <si>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</si>
  <si>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</si>
  <si>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</si>
  <si>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</si>
  <si>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</si>
  <si>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</si>
  <si>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</si>
  <si>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</si>
  <si>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</si>
  <si>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</si>
  <si>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</si>
  <si>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</si>
  <si>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</si>
  <si>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</si>
  <si>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</si>
  <si>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</si>
  <si>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</si>
  <si>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</si>
  <si>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</si>
  <si>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</si>
  <si>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</si>
  <si>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</si>
  <si>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</si>
  <si>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</si>
  <si>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</si>
  <si>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</si>
  <si>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</si>
  <si>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</si>
  <si>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</si>
  <si>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</si>
  <si>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</si>
  <si>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</si>
  <si>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</si>
  <si>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</si>
  <si>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</si>
  <si>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</si>
  <si>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</si>
  <si>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</si>
  <si>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</si>
  <si>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</si>
  <si>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</si>
  <si>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</si>
  <si>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</si>
  <si>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</si>
  <si>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</si>
  <si>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</si>
  <si>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</si>
  <si>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</si>
  <si>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</si>
  <si>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</si>
  <si>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</si>
  <si>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</si>
  <si>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</si>
  <si>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</si>
  <si>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</si>
  <si>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Tyers D x 4 (2 Year)</t>
  </si>
  <si>
    <t>Tyres H x 4 (2 Year)</t>
  </si>
  <si>
    <t>Municipal Submission - Admin</t>
  </si>
  <si>
    <t>Costing extra's</t>
  </si>
  <si>
    <t>Travel (Site visit)</t>
  </si>
  <si>
    <t>Travel (KM)</t>
  </si>
  <si>
    <t>Redraw building in 3D</t>
  </si>
  <si>
    <t>Design Layout</t>
  </si>
  <si>
    <t>3D Design</t>
  </si>
  <si>
    <t>Phase 3:</t>
  </si>
  <si>
    <t>Phase 2:</t>
  </si>
  <si>
    <t>Municipal Submission (New)</t>
  </si>
  <si>
    <t>Municipal Submission (Convert Existing)</t>
  </si>
  <si>
    <t>Professional Fees in terms of Section 34 (2) of the Architectural Profession Act, 2000 Act 44 of 2000  - 4 Oct 2024</t>
  </si>
  <si>
    <t>Building:</t>
  </si>
  <si>
    <t>Total (Ex.VAT &amp; Contingency)</t>
  </si>
  <si>
    <t>Total Stages 1 - 6 (Ex.VAT)</t>
  </si>
  <si>
    <t>Work Stages:</t>
  </si>
  <si>
    <t>Stages</t>
  </si>
  <si>
    <t>4.1</t>
  </si>
  <si>
    <t>4.2</t>
  </si>
  <si>
    <t xml:space="preserve">Total (ex.VAT) </t>
  </si>
  <si>
    <t>Project Duration (months)</t>
  </si>
  <si>
    <t>Full Professional Fees for Stage 5 + 6</t>
  </si>
  <si>
    <t>Monthly Fee Breakdown:</t>
  </si>
  <si>
    <t>Professional Fees (as not Principle Agent)</t>
  </si>
  <si>
    <t>Professional Fees in terms of Section 34 (2) of the Architectural Profession Act, 2000 Act 44 of 2000</t>
  </si>
  <si>
    <t>Disbursements:</t>
  </si>
  <si>
    <t>Travel cost</t>
  </si>
  <si>
    <t>Travel time</t>
  </si>
  <si>
    <t>Printing (Addendum A)</t>
  </si>
  <si>
    <t>Total per month (ex.VAT)</t>
  </si>
  <si>
    <t>Travel per Day</t>
  </si>
  <si>
    <t>Prints x 3 sets</t>
  </si>
  <si>
    <t>Travel +Meeting Time</t>
  </si>
  <si>
    <t>Contract purchase JBCC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</si>
</sst>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entury Gothic"/>
      <family val="2"/>
    </font>
    <font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9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26" fillId="0" borderId="0" xfId="0" applyFont="1"/>
    <xf numFmtId="0" fontId="4" fillId="6" borderId="55" xfId="0" applyFont="1" applyFill="1" applyBorder="1" applyAlignment="1">
      <alignment horizontal="center"/>
    </xf>
    <xf numFmtId="164" fontId="4" fillId="0" borderId="62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164" fontId="19" fillId="4" borderId="2" xfId="1" applyNumberFormat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59" xfId="0" applyBorder="1"/>
    <xf numFmtId="164" fontId="4" fillId="0" borderId="6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65" xfId="0" applyBorder="1"/>
    <xf numFmtId="164" fontId="4" fillId="0" borderId="63" xfId="0" applyNumberFormat="1" applyFont="1" applyBorder="1" applyAlignment="1">
      <alignment horizontal="center" vertical="center"/>
    </xf>
    <xf numFmtId="0" fontId="20" fillId="9" borderId="52" xfId="2" applyFont="1" applyFill="1" applyBorder="1" applyAlignment="1">
      <alignment horizontal="left"/>
    </xf>
    <xf numFmtId="44" fontId="4" fillId="0" borderId="5" xfId="0" applyNumberFormat="1" applyFont="1" applyBorder="1"/>
    <xf numFmtId="44" fontId="4" fillId="0" borderId="7" xfId="0" applyNumberFormat="1" applyFont="1" applyBorder="1"/>
    <xf numFmtId="44" fontId="4" fillId="0" borderId="9" xfId="0" applyNumberFormat="1" applyFont="1" applyBorder="1"/>
    <xf numFmtId="44" fontId="19" fillId="4" borderId="13" xfId="2" applyNumberFormat="1" applyFont="1" applyFill="1" applyBorder="1"/>
    <xf numFmtId="0" fontId="19" fillId="4" borderId="13" xfId="2" applyNumberFormat="1" applyFont="1" applyFill="1" applyBorder="1" applyAlignment="1">
      <alignment horizontal="center"/>
    </xf>
    <xf numFmtId="44" fontId="4" fillId="0" borderId="64" xfId="0" applyNumberFormat="1" applyFont="1" applyBorder="1"/>
    <xf numFmtId="44" fontId="8" fillId="0" borderId="10" xfId="0" applyNumberFormat="1" applyFont="1" applyBorder="1"/>
    <xf numFmtId="0" fontId="28" fillId="0" borderId="8" xfId="0" applyFont="1" applyBorder="1"/>
    <xf numFmtId="0" fontId="4" fillId="9" borderId="11" xfId="0" applyFont="1" applyFill="1" applyBorder="1"/>
    <xf numFmtId="0" fontId="0" fillId="9" borderId="13" xfId="0" applyFill="1" applyBorder="1"/>
    <xf numFmtId="44" fontId="4" fillId="0" borderId="62" xfId="0" applyNumberFormat="1" applyFont="1" applyBorder="1"/>
    <xf numFmtId="44" fontId="4" fillId="0" borderId="63" xfId="0" applyNumberFormat="1" applyFont="1" applyBorder="1"/>
    <xf numFmtId="164" fontId="9" fillId="4" borderId="13" xfId="0" applyNumberFormat="1" applyFont="1" applyFill="1" applyBorder="1" applyAlignment="1">
      <alignment horizontal="center" vertical="center"/>
    </xf>
    <xf numFmtId="0" fontId="20" fillId="9" borderId="66" xfId="2" applyFont="1" applyFill="1" applyBorder="1" applyAlignment="1">
      <alignment horizontal="center"/>
    </xf>
    <xf numFmtId="0" fontId="21" fillId="9" borderId="66" xfId="2" applyFont="1" applyFill="1" applyBorder="1" applyAlignment="1">
      <alignment horizontal="center"/>
    </xf>
    <xf numFmtId="0" fontId="21" fillId="9" borderId="63" xfId="2" applyFont="1" applyFill="1" applyBorder="1" applyAlignment="1">
      <alignment horizontal="center"/>
    </xf>
    <xf numFmtId="0" fontId="4" fillId="0" borderId="48" xfId="0" applyFont="1" applyBorder="1" applyAlignment="1">
      <alignment horizontal="left"/>
    </xf>
    <xf numFmtId="0" fontId="8" fillId="0" borderId="8" xfId="0" applyFont="1" applyBorder="1"/>
    <xf numFmtId="0" fontId="23" fillId="0" borderId="9" xfId="0" applyFont="1" applyBorder="1"/>
    <xf numFmtId="9" fontId="8" fillId="0" borderId="65" xfId="3" applyFont="1" applyBorder="1"/>
    <xf numFmtId="0" fontId="0" fillId="0" borderId="12" xfId="0" applyBorder="1"/>
    <xf numFmtId="44" fontId="4" fillId="0" borderId="55" xfId="0" applyNumberFormat="1" applyFont="1" applyBorder="1"/>
    <xf numFmtId="0" fontId="5" fillId="0" borderId="23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18" fillId="9" borderId="11" xfId="2" applyFont="1" applyFill="1" applyBorder="1" applyAlignment="1">
      <alignment horizontal="center" vertical="center"/>
    </xf>
    <xf numFmtId="0" fontId="18" fillId="9" borderId="12" xfId="2" applyFont="1" applyFill="1" applyBorder="1" applyAlignment="1">
      <alignment horizontal="center" vertical="center"/>
    </xf>
    <xf numFmtId="0" fontId="18" fillId="9" borderId="13" xfId="2" applyFont="1" applyFill="1" applyBorder="1" applyAlignment="1">
      <alignment horizontal="center" vertical="center"/>
    </xf>
    <xf numFmtId="0" fontId="20" fillId="9" borderId="11" xfId="2" applyFont="1" applyFill="1" applyBorder="1" applyAlignment="1">
      <alignment horizontal="left"/>
    </xf>
    <xf numFmtId="0" fontId="20" fillId="9" borderId="12" xfId="2" applyFont="1" applyFill="1" applyBorder="1" applyAlignment="1">
      <alignment horizontal="left"/>
    </xf>
    <xf numFmtId="0" fontId="20" fillId="9" borderId="13" xfId="2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9" fillId="9" borderId="11" xfId="2" applyFont="1" applyFill="1" applyBorder="1" applyAlignment="1">
      <alignment horizontal="left"/>
    </xf>
    <xf numFmtId="0" fontId="19" fillId="9" borderId="12" xfId="2" applyFont="1" applyFill="1" applyBorder="1" applyAlignment="1">
      <alignment horizontal="left"/>
    </xf>
    <xf numFmtId="0" fontId="19" fillId="9" borderId="13" xfId="2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4" fontId="19" fillId="4" borderId="36" xfId="2" applyNumberFormat="1" applyFont="1" applyFill="1" applyBorder="1" applyAlignment="1">
      <alignment horizontal="center" vertical="center"/>
    </xf>
    <xf numFmtId="44" fontId="19" fillId="4" borderId="25" xfId="2" applyNumberFormat="1" applyFont="1" applyFill="1" applyBorder="1" applyAlignment="1">
      <alignment horizontal="center" vertical="center"/>
    </xf>
    <xf numFmtId="0" fontId="27" fillId="6" borderId="11" xfId="0" applyFont="1" applyFill="1" applyBorder="1" applyAlignment="1">
      <alignment horizontal="center" vertical="center" wrapText="1"/>
    </xf>
    <xf numFmtId="0" fontId="27" fillId="6" borderId="12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57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7"/>
  <sheetViews>
    <sheetView topLeftCell="A18" workbookViewId="0">
      <selection activeCell="D15" sqref="D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42"/>
      <c r="B1" s="342"/>
      <c r="C1" s="342"/>
      <c r="D1" s="342"/>
      <c r="E1" s="342"/>
      <c r="F1" s="342"/>
      <c r="G1" s="342"/>
      <c r="H1" s="342"/>
      <c r="I1" s="342"/>
      <c r="J1" s="342"/>
    </row>
    <row r="2" spans="1:11" x14ac:dyDescent="0.3">
      <c r="A2" s="342"/>
      <c r="B2" s="342"/>
      <c r="C2" s="342"/>
      <c r="D2" s="342"/>
      <c r="E2" s="342"/>
      <c r="F2" s="342"/>
      <c r="G2" s="342"/>
      <c r="H2" s="342"/>
      <c r="I2" s="342"/>
      <c r="J2" s="342"/>
    </row>
    <row r="3" spans="1:11" x14ac:dyDescent="0.3">
      <c r="A3" s="342"/>
      <c r="B3" s="342"/>
      <c r="C3" s="342"/>
      <c r="D3" s="342"/>
      <c r="E3" s="342"/>
      <c r="F3" s="342"/>
      <c r="G3" s="342"/>
      <c r="H3" s="342"/>
      <c r="I3" s="342"/>
      <c r="J3" s="342"/>
    </row>
    <row r="4" spans="1:11" x14ac:dyDescent="0.3">
      <c r="A4" s="342"/>
      <c r="B4" s="342"/>
      <c r="C4" s="342"/>
      <c r="D4" s="342"/>
      <c r="E4" s="342"/>
      <c r="F4" s="342"/>
      <c r="G4" s="342"/>
      <c r="H4" s="342"/>
      <c r="I4" s="342"/>
      <c r="J4" s="342"/>
    </row>
    <row r="5" spans="1:11" x14ac:dyDescent="0.3">
      <c r="A5" s="342"/>
      <c r="B5" s="342"/>
      <c r="C5" s="342"/>
      <c r="D5" s="342"/>
      <c r="E5" s="342"/>
      <c r="F5" s="342"/>
      <c r="G5" s="342"/>
      <c r="H5" s="342"/>
      <c r="I5" s="342"/>
      <c r="J5" s="342"/>
    </row>
    <row r="6" spans="1:11" x14ac:dyDescent="0.3">
      <c r="A6" s="342"/>
      <c r="B6" s="342"/>
      <c r="C6" s="342"/>
      <c r="D6" s="342"/>
      <c r="E6" s="342"/>
      <c r="F6" s="342"/>
      <c r="G6" s="342"/>
      <c r="H6" s="342"/>
      <c r="I6" s="342"/>
      <c r="J6" s="342"/>
    </row>
    <row r="7" spans="1:11" x14ac:dyDescent="0.3">
      <c r="A7" s="342"/>
      <c r="B7" s="342"/>
      <c r="C7" s="342"/>
      <c r="D7" s="342"/>
      <c r="E7" s="342"/>
      <c r="F7" s="342"/>
      <c r="G7" s="342"/>
      <c r="H7" s="342"/>
      <c r="I7" s="342"/>
      <c r="J7" s="342"/>
    </row>
    <row r="8" spans="1:11" x14ac:dyDescent="0.3">
      <c r="A8" s="342"/>
      <c r="B8" s="342"/>
      <c r="C8" s="342"/>
      <c r="D8" s="342"/>
      <c r="E8" s="342"/>
      <c r="F8" s="342"/>
      <c r="G8" s="342"/>
      <c r="H8" s="342"/>
      <c r="I8" s="342"/>
      <c r="J8" s="342"/>
    </row>
    <row r="9" spans="1:11" x14ac:dyDescent="0.3">
      <c r="A9" s="342"/>
      <c r="B9" s="342"/>
      <c r="C9" s="342"/>
      <c r="D9" s="342"/>
      <c r="E9" s="342"/>
      <c r="F9" s="342"/>
      <c r="G9" s="342"/>
      <c r="H9" s="342"/>
      <c r="I9" s="342"/>
      <c r="J9" s="342"/>
    </row>
    <row r="10" spans="1:11" x14ac:dyDescent="0.3">
      <c r="A10" s="342"/>
      <c r="B10" s="342"/>
      <c r="C10" s="342"/>
      <c r="D10" s="342"/>
      <c r="E10" s="342"/>
      <c r="F10" s="342"/>
      <c r="G10" s="342"/>
      <c r="H10" s="342"/>
      <c r="I10" s="342"/>
      <c r="J10" s="342"/>
    </row>
    <row r="11" spans="1:11" ht="21" thickBot="1" x14ac:dyDescent="0.35">
      <c r="A11" s="340" t="s">
        <v>5</v>
      </c>
      <c r="B11" s="341"/>
      <c r="C11" s="341"/>
      <c r="D11" s="341"/>
      <c r="E11" s="341"/>
      <c r="F11" s="341"/>
      <c r="G11" s="341"/>
      <c r="H11" s="341"/>
      <c r="I11" s="341"/>
      <c r="J11" s="341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345" t="s">
        <v>9</v>
      </c>
      <c r="F12" s="348"/>
      <c r="G12" s="346"/>
      <c r="H12" s="345" t="s">
        <v>4</v>
      </c>
      <c r="I12" s="346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347">
        <v>0.1</v>
      </c>
      <c r="F13" s="347"/>
      <c r="G13" s="223">
        <f>D13*E13</f>
        <v>4000</v>
      </c>
      <c r="H13" s="344">
        <f>D13+G13</f>
        <v>44000</v>
      </c>
      <c r="I13" s="344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336">
        <v>0.1</v>
      </c>
      <c r="F14" s="336"/>
      <c r="G14" s="223">
        <f>D14*E14</f>
        <v>2400</v>
      </c>
      <c r="H14" s="343">
        <f>D14+G14</f>
        <v>26400</v>
      </c>
      <c r="I14" s="343"/>
      <c r="J14" s="113">
        <v>1</v>
      </c>
    </row>
    <row r="15" spans="1:11" x14ac:dyDescent="0.3">
      <c r="A15" s="221">
        <v>3</v>
      </c>
      <c r="B15" s="113" t="s">
        <v>130</v>
      </c>
      <c r="C15" s="113" t="s">
        <v>91</v>
      </c>
      <c r="D15" s="222">
        <v>10000</v>
      </c>
      <c r="E15" s="336">
        <v>3</v>
      </c>
      <c r="F15" s="336"/>
      <c r="G15" s="223">
        <f>D15*E15</f>
        <v>30000</v>
      </c>
      <c r="H15" s="343">
        <f>D15+G15</f>
        <v>40000</v>
      </c>
      <c r="I15" s="343"/>
      <c r="J15" s="113">
        <v>1</v>
      </c>
    </row>
    <row r="16" spans="1:11" x14ac:dyDescent="0.3">
      <c r="A16" s="4"/>
      <c r="E16" s="337"/>
      <c r="F16" s="337"/>
      <c r="H16" s="337"/>
      <c r="I16" s="337"/>
      <c r="K16"/>
    </row>
    <row r="17" spans="1:15" ht="21" thickBot="1" x14ac:dyDescent="0.35">
      <c r="A17" s="349" t="s">
        <v>6</v>
      </c>
      <c r="B17" s="349"/>
      <c r="C17" s="349"/>
      <c r="D17" s="349"/>
      <c r="E17" s="349"/>
      <c r="F17" s="349"/>
      <c r="G17" s="349"/>
      <c r="H17" s="349"/>
      <c r="I17" s="349"/>
      <c r="J17" s="349"/>
      <c r="K17"/>
    </row>
    <row r="18" spans="1:15" ht="18" thickBot="1" x14ac:dyDescent="0.35">
      <c r="A18" s="224" t="s">
        <v>88</v>
      </c>
      <c r="B18" s="228" t="s">
        <v>7</v>
      </c>
      <c r="C18" s="350" t="s">
        <v>10</v>
      </c>
      <c r="D18" s="351"/>
      <c r="E18" s="338" t="s">
        <v>8</v>
      </c>
      <c r="F18" s="339"/>
      <c r="G18" s="353" t="s">
        <v>11</v>
      </c>
      <c r="H18" s="354"/>
      <c r="I18" s="354"/>
      <c r="J18" s="354"/>
      <c r="K18"/>
    </row>
    <row r="19" spans="1:15" x14ac:dyDescent="0.3">
      <c r="A19" s="221">
        <v>1</v>
      </c>
      <c r="B19" s="230">
        <v>21</v>
      </c>
      <c r="C19" s="352">
        <f>D46</f>
        <v>6507.8907500000005</v>
      </c>
      <c r="D19" s="352"/>
      <c r="E19" s="359">
        <v>8</v>
      </c>
      <c r="F19" s="359"/>
      <c r="G19" s="355">
        <f>ROUNDUP(C19/E19,-0.1)</f>
        <v>814</v>
      </c>
      <c r="H19" s="355"/>
      <c r="I19" s="355"/>
      <c r="J19" s="355"/>
      <c r="K19" s="113"/>
    </row>
    <row r="20" spans="1:15" x14ac:dyDescent="0.3">
      <c r="A20" s="221">
        <v>2</v>
      </c>
      <c r="B20" s="230">
        <v>21</v>
      </c>
      <c r="C20" s="356">
        <f ca="1">J46</f>
        <v>5937.8</v>
      </c>
      <c r="D20" s="356"/>
      <c r="E20" s="358">
        <v>8</v>
      </c>
      <c r="F20" s="358"/>
      <c r="G20" s="357">
        <f ca="1">C20/E20</f>
        <v>742.22500000000002</v>
      </c>
      <c r="H20" s="357"/>
      <c r="I20" s="357"/>
      <c r="J20" s="357"/>
      <c r="K20" s="113"/>
    </row>
    <row r="21" spans="1:15" x14ac:dyDescent="0.3">
      <c r="A21" s="221">
        <v>3</v>
      </c>
      <c r="B21" s="230">
        <v>21</v>
      </c>
      <c r="C21" s="356">
        <f>H15/4/5</f>
        <v>2000</v>
      </c>
      <c r="D21" s="356"/>
      <c r="E21" s="358">
        <v>8</v>
      </c>
      <c r="F21" s="358"/>
      <c r="G21" s="357">
        <f>C21/E21</f>
        <v>250</v>
      </c>
      <c r="H21" s="357"/>
      <c r="I21" s="357"/>
      <c r="J21" s="357"/>
      <c r="K21"/>
    </row>
    <row r="22" spans="1:15" x14ac:dyDescent="0.3">
      <c r="A22" s="221"/>
      <c r="B22" s="230"/>
      <c r="C22" s="265"/>
      <c r="D22" s="265"/>
      <c r="E22" s="221"/>
      <c r="F22" s="221"/>
      <c r="G22"/>
      <c r="H22"/>
      <c r="I22"/>
      <c r="J22"/>
      <c r="K22"/>
    </row>
    <row r="23" spans="1:15" ht="21" thickBot="1" x14ac:dyDescent="0.35">
      <c r="A23" s="340" t="s">
        <v>133</v>
      </c>
      <c r="B23" s="341"/>
      <c r="C23" s="341"/>
      <c r="D23" s="341"/>
      <c r="E23" s="341"/>
      <c r="F23" s="341"/>
      <c r="G23" s="341"/>
      <c r="H23" s="341"/>
      <c r="I23" s="341"/>
      <c r="J23" s="341"/>
      <c r="K23"/>
    </row>
    <row r="24" spans="1:15" ht="18" thickBot="1" x14ac:dyDescent="0.35">
      <c r="A24" s="224"/>
      <c r="B24" s="243" t="s">
        <v>134</v>
      </c>
      <c r="C24" s="243"/>
      <c r="D24" s="243" t="s">
        <v>3</v>
      </c>
      <c r="E24" s="243"/>
      <c r="F24" s="6"/>
      <c r="G24" s="6"/>
      <c r="H24" s="6"/>
      <c r="I24" s="6"/>
      <c r="J24" s="237"/>
    </row>
    <row r="25" spans="1:15" x14ac:dyDescent="0.3">
      <c r="A25" s="245">
        <v>1</v>
      </c>
      <c r="B25" s="14" t="s">
        <v>135</v>
      </c>
      <c r="C25" s="14"/>
      <c r="D25" s="250">
        <v>11000</v>
      </c>
      <c r="E25" s="251"/>
      <c r="F25" s="244">
        <v>1</v>
      </c>
      <c r="G25" s="1" t="s">
        <v>161</v>
      </c>
      <c r="I25" s="260">
        <v>1</v>
      </c>
      <c r="J25" s="252">
        <f ca="1">SUMIF($L$34:$O$43,G25,$O$34:$O$43)*$I$25</f>
        <v>750</v>
      </c>
      <c r="L25" s="1" t="s">
        <v>150</v>
      </c>
    </row>
    <row r="26" spans="1:15" x14ac:dyDescent="0.3">
      <c r="A26" s="4">
        <v>2</v>
      </c>
      <c r="B26" s="1" t="s">
        <v>136</v>
      </c>
      <c r="D26" s="215">
        <v>2000</v>
      </c>
      <c r="E26" s="252"/>
      <c r="F26" s="244">
        <v>2</v>
      </c>
      <c r="G26" s="1" t="s">
        <v>162</v>
      </c>
      <c r="I26" s="260">
        <v>1</v>
      </c>
      <c r="J26" s="252">
        <f ca="1">SUMIF($L$34:$O$44,G26,$O$34:$O$44)*$I$26</f>
        <v>383.33333333333331</v>
      </c>
      <c r="L26" s="233" t="s">
        <v>151</v>
      </c>
      <c r="M26" s="248" t="s">
        <v>152</v>
      </c>
      <c r="N26" s="234" t="s">
        <v>4</v>
      </c>
      <c r="O26" s="249" t="s">
        <v>153</v>
      </c>
    </row>
    <row r="27" spans="1:15" x14ac:dyDescent="0.3">
      <c r="A27" s="4">
        <v>3</v>
      </c>
      <c r="B27" s="1" t="s">
        <v>138</v>
      </c>
      <c r="D27" s="215">
        <v>4500</v>
      </c>
      <c r="E27" s="252"/>
      <c r="F27" s="244">
        <v>3</v>
      </c>
      <c r="G27" s="1" t="s">
        <v>135</v>
      </c>
      <c r="I27" s="260">
        <v>0.3</v>
      </c>
      <c r="J27" s="252">
        <f ca="1">SUMIF($B$25:$D$37,G27,$D$25:$D$37)*I27</f>
        <v>3300</v>
      </c>
      <c r="L27" s="175" t="s">
        <v>158</v>
      </c>
      <c r="M27" s="246">
        <v>12</v>
      </c>
      <c r="N27" s="259">
        <f>9000*C42</f>
        <v>18000</v>
      </c>
      <c r="O27" s="219">
        <f>N27/M27</f>
        <v>1500</v>
      </c>
    </row>
    <row r="28" spans="1:15" x14ac:dyDescent="0.3">
      <c r="A28" s="4">
        <v>4</v>
      </c>
      <c r="B28" s="1" t="s">
        <v>139</v>
      </c>
      <c r="D28" s="215">
        <v>1000</v>
      </c>
      <c r="E28" s="252"/>
      <c r="F28" s="244">
        <v>4</v>
      </c>
      <c r="G28" s="1" t="s">
        <v>136</v>
      </c>
      <c r="I28" s="260">
        <v>0.3</v>
      </c>
      <c r="J28" s="252">
        <f ca="1">SUMIF($B$25:$D$37,G28,$D$25:$D$37)*I28</f>
        <v>600</v>
      </c>
      <c r="L28" s="77" t="s">
        <v>154</v>
      </c>
      <c r="M28" s="1">
        <v>12</v>
      </c>
      <c r="N28" s="215">
        <v>13200</v>
      </c>
      <c r="O28" s="252">
        <f>N28/M28</f>
        <v>1100</v>
      </c>
    </row>
    <row r="29" spans="1:15" x14ac:dyDescent="0.3">
      <c r="A29" s="4">
        <v>5</v>
      </c>
      <c r="B29" s="1" t="s">
        <v>140</v>
      </c>
      <c r="D29" s="215">
        <v>880</v>
      </c>
      <c r="E29" s="252"/>
      <c r="F29" s="244">
        <v>5</v>
      </c>
      <c r="G29" s="1" t="s">
        <v>139</v>
      </c>
      <c r="I29" s="260">
        <v>0.3</v>
      </c>
      <c r="J29" s="252">
        <f ca="1">SUMIF($B$25:$D$37,G29,$D$25:$D$37)*I29</f>
        <v>300</v>
      </c>
      <c r="L29" s="77" t="s">
        <v>155</v>
      </c>
      <c r="M29" s="1">
        <v>12</v>
      </c>
      <c r="N29" s="215">
        <v>1600</v>
      </c>
      <c r="O29" s="252">
        <f>N29/M29</f>
        <v>133.33333333333334</v>
      </c>
    </row>
    <row r="30" spans="1:15" x14ac:dyDescent="0.3">
      <c r="A30" s="4">
        <v>6</v>
      </c>
      <c r="B30" s="1" t="s">
        <v>141</v>
      </c>
      <c r="D30" s="215">
        <f>700*4*2</f>
        <v>5600</v>
      </c>
      <c r="E30" s="252"/>
      <c r="F30" s="244">
        <v>6</v>
      </c>
      <c r="G30" s="1" t="s">
        <v>140</v>
      </c>
      <c r="I30" s="260">
        <v>0.3</v>
      </c>
      <c r="J30" s="252">
        <f ca="1">SUMIF($B$25:$D$37,G30,$D$25:$D$37)*I30</f>
        <v>264</v>
      </c>
      <c r="L30" s="179" t="s">
        <v>156</v>
      </c>
      <c r="M30" s="180">
        <v>12</v>
      </c>
      <c r="N30" s="180"/>
      <c r="O30" s="247"/>
    </row>
    <row r="31" spans="1:15" x14ac:dyDescent="0.3">
      <c r="A31" s="4">
        <v>7</v>
      </c>
      <c r="B31" s="1" t="s">
        <v>142</v>
      </c>
      <c r="D31" s="215">
        <v>4000</v>
      </c>
      <c r="E31" s="252"/>
      <c r="J31" s="178"/>
      <c r="L31" s="233"/>
      <c r="M31" s="232"/>
      <c r="N31" s="232" t="s">
        <v>3</v>
      </c>
      <c r="O31" s="214">
        <f>SUM(O27:O30)</f>
        <v>2733.3333333333335</v>
      </c>
    </row>
    <row r="32" spans="1:15" x14ac:dyDescent="0.3">
      <c r="A32" s="4">
        <v>8</v>
      </c>
      <c r="B32" s="1" t="s">
        <v>143</v>
      </c>
      <c r="D32" s="215">
        <v>200</v>
      </c>
      <c r="E32" s="252"/>
      <c r="F32" s="77"/>
      <c r="J32" s="178"/>
    </row>
    <row r="33" spans="1:15" x14ac:dyDescent="0.3">
      <c r="A33" s="4">
        <v>9</v>
      </c>
      <c r="B33" s="1" t="s">
        <v>144</v>
      </c>
      <c r="D33" s="215">
        <f>O44*2</f>
        <v>766.66666666666663</v>
      </c>
      <c r="E33" s="252"/>
      <c r="J33" s="178"/>
      <c r="L33" s="1" t="s">
        <v>157</v>
      </c>
    </row>
    <row r="34" spans="1:15" x14ac:dyDescent="0.3">
      <c r="A34" s="4">
        <v>10</v>
      </c>
      <c r="B34" s="1" t="s">
        <v>145</v>
      </c>
      <c r="D34" s="215">
        <f>15000/12</f>
        <v>1250</v>
      </c>
      <c r="E34" s="252"/>
      <c r="J34" s="178"/>
      <c r="L34" s="175" t="s">
        <v>158</v>
      </c>
      <c r="M34" s="246">
        <v>12</v>
      </c>
      <c r="N34" s="259">
        <f>9000</f>
        <v>9000</v>
      </c>
      <c r="O34" s="219">
        <f>N34/M34</f>
        <v>750</v>
      </c>
    </row>
    <row r="35" spans="1:15" x14ac:dyDescent="0.3">
      <c r="A35" s="3">
        <v>11</v>
      </c>
      <c r="B35" s="1" t="s">
        <v>167</v>
      </c>
      <c r="D35" s="215">
        <f>4200/12</f>
        <v>350</v>
      </c>
      <c r="E35" s="252"/>
      <c r="F35" s="77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3">
        <v>12</v>
      </c>
      <c r="B36" s="1" t="s">
        <v>166</v>
      </c>
      <c r="D36" s="215">
        <f>11400/12/2</f>
        <v>475</v>
      </c>
      <c r="E36" s="252"/>
      <c r="F36" s="77"/>
      <c r="G36" s="215"/>
      <c r="H36" s="215"/>
      <c r="I36" s="215"/>
      <c r="J36" s="178"/>
      <c r="L36" s="77"/>
      <c r="M36" s="1">
        <v>12</v>
      </c>
      <c r="N36" s="215"/>
      <c r="O36" s="252">
        <f>N36/M36</f>
        <v>0</v>
      </c>
    </row>
    <row r="37" spans="1:15" x14ac:dyDescent="0.3">
      <c r="A37" s="238">
        <v>13</v>
      </c>
      <c r="B37" s="180" t="s">
        <v>137</v>
      </c>
      <c r="C37" s="180"/>
      <c r="D37" s="253">
        <f>O31</f>
        <v>2733.3333333333335</v>
      </c>
      <c r="E37" s="220"/>
      <c r="F37" s="179"/>
      <c r="G37" s="253"/>
      <c r="H37" s="253"/>
      <c r="I37" s="253"/>
      <c r="J37" s="220"/>
      <c r="L37" s="77"/>
      <c r="M37" s="1">
        <v>12</v>
      </c>
      <c r="N37" s="215"/>
      <c r="O37" s="252">
        <f>N37/M37</f>
        <v>0</v>
      </c>
    </row>
    <row r="38" spans="1:15" x14ac:dyDescent="0.3">
      <c r="A38" s="3"/>
      <c r="D38" s="215"/>
      <c r="E38" s="215"/>
      <c r="G38" s="215"/>
      <c r="H38" s="215"/>
      <c r="I38" s="215"/>
      <c r="J38" s="215"/>
      <c r="L38" s="233" t="s">
        <v>161</v>
      </c>
      <c r="M38" s="232"/>
      <c r="N38" s="232"/>
      <c r="O38" s="214">
        <f>SUM(O34:O37)</f>
        <v>750</v>
      </c>
    </row>
    <row r="39" spans="1:15" x14ac:dyDescent="0.3">
      <c r="A39" s="3"/>
      <c r="B39" s="69" t="s">
        <v>163</v>
      </c>
      <c r="D39" s="215">
        <f>SUM(D25:D37)</f>
        <v>34755</v>
      </c>
      <c r="E39" s="215"/>
      <c r="G39" s="69" t="s">
        <v>163</v>
      </c>
      <c r="H39" s="215"/>
      <c r="I39" s="215"/>
      <c r="J39" s="215">
        <f ca="1">SUM(J25:J37)</f>
        <v>5597.333333333333</v>
      </c>
    </row>
    <row r="40" spans="1:15" ht="18" thickBot="1" x14ac:dyDescent="0.35">
      <c r="A40" s="239"/>
      <c r="B40" s="240" t="s">
        <v>146</v>
      </c>
      <c r="C40" s="242">
        <v>0.21299999999999999</v>
      </c>
      <c r="D40" s="254">
        <f>SUM(D39)*(1+C40)</f>
        <v>42157.815000000002</v>
      </c>
      <c r="E40" s="215"/>
      <c r="F40" s="263"/>
      <c r="G40" s="240" t="s">
        <v>146</v>
      </c>
      <c r="H40" s="240"/>
      <c r="I40" s="261">
        <v>15.5</v>
      </c>
      <c r="J40" s="262">
        <f ca="1">SUM(J39)*(1+I40)</f>
        <v>92356</v>
      </c>
      <c r="L40" s="1" t="s">
        <v>160</v>
      </c>
    </row>
    <row r="41" spans="1:15" ht="18" thickTop="1" x14ac:dyDescent="0.3">
      <c r="A41" s="4"/>
      <c r="C41" s="215"/>
      <c r="D41" s="215"/>
      <c r="E41" s="215"/>
      <c r="H41" s="215"/>
      <c r="I41" s="215"/>
      <c r="L41" s="175" t="s">
        <v>144</v>
      </c>
      <c r="M41" s="246">
        <v>12</v>
      </c>
      <c r="N41" s="259">
        <v>4600</v>
      </c>
      <c r="O41" s="219">
        <f>N41/M41</f>
        <v>383.33333333333331</v>
      </c>
    </row>
    <row r="42" spans="1:15" x14ac:dyDescent="0.3">
      <c r="A42" s="4">
        <v>1</v>
      </c>
      <c r="B42" s="1" t="s">
        <v>147</v>
      </c>
      <c r="C42" s="1">
        <f>J13</f>
        <v>2</v>
      </c>
      <c r="D42" s="215">
        <f>H13*J13</f>
        <v>88000</v>
      </c>
      <c r="E42" s="215"/>
      <c r="F42" s="3">
        <v>1</v>
      </c>
      <c r="G42" s="1" t="s">
        <v>159</v>
      </c>
      <c r="J42" s="215">
        <f>H14</f>
        <v>26400</v>
      </c>
      <c r="L42" s="77"/>
      <c r="O42" s="178"/>
    </row>
    <row r="43" spans="1:15" ht="18" thickBot="1" x14ac:dyDescent="0.35">
      <c r="A43" s="4"/>
      <c r="C43" s="215"/>
      <c r="D43" s="215"/>
      <c r="E43" s="215"/>
      <c r="L43" s="179"/>
      <c r="M43" s="180"/>
      <c r="N43" s="180"/>
      <c r="O43" s="247"/>
    </row>
    <row r="44" spans="1:15" ht="18" thickBot="1" x14ac:dyDescent="0.35">
      <c r="A44" s="4"/>
      <c r="B44" s="235" t="s">
        <v>164</v>
      </c>
      <c r="C44" s="6"/>
      <c r="D44" s="255">
        <f>D40+D42</f>
        <v>130157.815</v>
      </c>
      <c r="E44" s="256"/>
      <c r="F44" s="215"/>
      <c r="G44" s="235" t="s">
        <v>164</v>
      </c>
      <c r="H44" s="6"/>
      <c r="I44" s="6"/>
      <c r="J44" s="255">
        <f ca="1">J40+J42</f>
        <v>118756</v>
      </c>
      <c r="L44" s="233" t="s">
        <v>162</v>
      </c>
      <c r="M44" s="232"/>
      <c r="N44" s="232"/>
      <c r="O44" s="214">
        <f>SUM(O41:O43)</f>
        <v>383.33333333333331</v>
      </c>
    </row>
    <row r="45" spans="1:15" ht="18" thickBot="1" x14ac:dyDescent="0.35">
      <c r="A45" s="4"/>
      <c r="B45" s="69"/>
      <c r="D45" s="256"/>
      <c r="E45" s="256"/>
    </row>
    <row r="46" spans="1:15" ht="18" thickBot="1" x14ac:dyDescent="0.35">
      <c r="A46" s="4"/>
      <c r="B46" s="236" t="s">
        <v>148</v>
      </c>
      <c r="C46" s="6"/>
      <c r="D46" s="257">
        <f>D44/4/5</f>
        <v>6507.8907500000005</v>
      </c>
      <c r="E46" s="215"/>
      <c r="F46" s="95"/>
      <c r="G46" s="236" t="s">
        <v>148</v>
      </c>
      <c r="H46" s="6"/>
      <c r="I46" s="6"/>
      <c r="J46" s="257">
        <f ca="1">J44/4/5</f>
        <v>5937.8</v>
      </c>
    </row>
    <row r="47" spans="1:15" ht="18" thickBot="1" x14ac:dyDescent="0.35">
      <c r="A47" s="4"/>
      <c r="B47" s="89" t="s">
        <v>149</v>
      </c>
      <c r="C47" s="241"/>
      <c r="D47" s="258">
        <f>D46/8</f>
        <v>813.48634375000006</v>
      </c>
      <c r="E47" s="215"/>
      <c r="G47" s="89" t="s">
        <v>149</v>
      </c>
      <c r="H47" s="6"/>
      <c r="I47" s="6"/>
      <c r="J47" s="257">
        <f ca="1">J46/8</f>
        <v>742.22500000000002</v>
      </c>
    </row>
  </sheetData>
  <mergeCells count="26">
    <mergeCell ref="A23:J23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C21:D21"/>
    <mergeCell ref="G21:J21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5"/>
  <sheetViews>
    <sheetView topLeftCell="A70" zoomScaleNormal="100" workbookViewId="0">
      <selection activeCell="F88" sqref="F8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377" t="s">
        <v>12</v>
      </c>
      <c r="B11" s="378"/>
      <c r="C11" s="378"/>
      <c r="D11" s="378"/>
      <c r="E11" s="378"/>
      <c r="F11" s="378"/>
      <c r="G11" s="378"/>
      <c r="H11" s="37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80" t="s">
        <v>63</v>
      </c>
      <c r="B13" s="381"/>
      <c r="C13" s="38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83" t="s">
        <v>59</v>
      </c>
      <c r="B14" s="384"/>
      <c r="C14" s="38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71" t="s">
        <v>77</v>
      </c>
      <c r="B15" s="372"/>
      <c r="C15" s="71"/>
      <c r="D15" s="71"/>
      <c r="E15" s="71"/>
      <c r="F15" s="76">
        <f>SUM(F16:F37)</f>
        <v>58</v>
      </c>
      <c r="G15" s="218">
        <f>SUM(G16:G29)</f>
        <v>7.25</v>
      </c>
      <c r="H15" s="187">
        <f>SUM(H16:H18)</f>
        <v>13650</v>
      </c>
      <c r="I15" s="1"/>
      <c r="J15" s="331" t="s">
        <v>71</v>
      </c>
      <c r="K15" s="332"/>
      <c r="L15" s="373"/>
      <c r="M15" s="152">
        <f>G15</f>
        <v>7.25</v>
      </c>
    </row>
    <row r="16" spans="1:13" ht="18" thickBot="1" x14ac:dyDescent="0.35">
      <c r="A16" s="182" t="s">
        <v>172</v>
      </c>
      <c r="B16" s="266"/>
      <c r="C16" s="266"/>
      <c r="D16" s="60" t="s">
        <v>165</v>
      </c>
      <c r="E16" s="60">
        <v>650</v>
      </c>
      <c r="F16" s="3">
        <f>16</f>
        <v>16</v>
      </c>
      <c r="G16" s="183">
        <f>IF(F16="","",F16/8)</f>
        <v>2</v>
      </c>
      <c r="H16" s="185">
        <f>IF(E16="","",F16*E16)</f>
        <v>10400</v>
      </c>
      <c r="I16" s="1"/>
      <c r="M16" s="3"/>
    </row>
    <row r="17" spans="1:14" ht="18" thickBot="1" x14ac:dyDescent="0.35">
      <c r="A17" s="1" t="s">
        <v>170</v>
      </c>
      <c r="E17" s="60">
        <v>650</v>
      </c>
      <c r="F17" s="3">
        <v>3</v>
      </c>
      <c r="G17" s="183">
        <f>IF(F17="","",F17/8)</f>
        <v>0.375</v>
      </c>
      <c r="H17" s="185">
        <f>IF(E17="","",F17*E17)</f>
        <v>1950</v>
      </c>
      <c r="I17" s="1"/>
      <c r="J17" s="374" t="s">
        <v>74</v>
      </c>
      <c r="K17" s="375"/>
      <c r="L17" s="376"/>
      <c r="M17" s="105">
        <f>H34/M15</f>
        <v>5632.2758620689656</v>
      </c>
    </row>
    <row r="18" spans="1:14" ht="17.25" x14ac:dyDescent="0.3">
      <c r="A18" s="1" t="s">
        <v>171</v>
      </c>
      <c r="H18" s="185">
        <f>6.5*200</f>
        <v>1300</v>
      </c>
      <c r="I18" s="1"/>
      <c r="M18" s="3"/>
    </row>
    <row r="19" spans="1:14" ht="18" thickBot="1" x14ac:dyDescent="0.35">
      <c r="A19" s="1"/>
      <c r="H19" s="185"/>
      <c r="I19" s="1"/>
      <c r="M19" s="3"/>
    </row>
    <row r="20" spans="1:14" ht="18" thickBot="1" x14ac:dyDescent="0.35">
      <c r="A20" s="371" t="s">
        <v>176</v>
      </c>
      <c r="B20" s="372"/>
      <c r="C20" s="196"/>
      <c r="D20" s="196"/>
      <c r="E20" s="196"/>
      <c r="F20" s="196"/>
      <c r="G20" s="196"/>
      <c r="H20" s="187">
        <f>SUM(H21:H23)</f>
        <v>10934</v>
      </c>
      <c r="I20" s="1"/>
      <c r="M20" s="3"/>
    </row>
    <row r="21" spans="1:14" ht="17.25" x14ac:dyDescent="0.3">
      <c r="A21" s="182" t="s">
        <v>173</v>
      </c>
      <c r="B21" s="266"/>
      <c r="C21" s="266"/>
      <c r="D21" s="60" t="s">
        <v>73</v>
      </c>
      <c r="E21" s="60">
        <v>781</v>
      </c>
      <c r="F21" s="3">
        <v>12</v>
      </c>
      <c r="G21" s="183">
        <f>IF(F21="","",F21/8)</f>
        <v>1.5</v>
      </c>
      <c r="H21" s="185">
        <f>IF(E21="","",F21*E21)</f>
        <v>9372</v>
      </c>
      <c r="I21" s="1"/>
      <c r="M21" s="3"/>
    </row>
    <row r="22" spans="1:14" ht="17.25" x14ac:dyDescent="0.3">
      <c r="A22" s="182" t="s">
        <v>174</v>
      </c>
      <c r="B22" s="266"/>
      <c r="C22" s="266"/>
      <c r="D22" s="60" t="s">
        <v>73</v>
      </c>
      <c r="E22" s="60">
        <v>781</v>
      </c>
      <c r="F22" s="3">
        <v>2</v>
      </c>
      <c r="G22" s="183">
        <f>IF(F22="","",F22/8)</f>
        <v>0.25</v>
      </c>
      <c r="H22" s="185">
        <f>IF(E22="","",F22*E22)</f>
        <v>1562</v>
      </c>
      <c r="I22" s="1"/>
      <c r="M22" s="3"/>
    </row>
    <row r="23" spans="1:14" ht="18" thickBot="1" x14ac:dyDescent="0.35">
      <c r="A23" s="182"/>
      <c r="B23" s="266"/>
      <c r="C23" s="266"/>
      <c r="D23" s="60"/>
      <c r="E23" s="60"/>
      <c r="F23" s="3"/>
      <c r="G23" s="183"/>
      <c r="H23" s="185"/>
      <c r="I23" s="1"/>
      <c r="M23" s="3"/>
    </row>
    <row r="24" spans="1:14" ht="18" thickBot="1" x14ac:dyDescent="0.35">
      <c r="A24" s="371" t="s">
        <v>175</v>
      </c>
      <c r="B24" s="372"/>
      <c r="C24" s="196"/>
      <c r="D24" s="196"/>
      <c r="E24" s="196"/>
      <c r="F24" s="196"/>
      <c r="G24" s="196"/>
      <c r="H24" s="187">
        <f>SUM(H25:H28)</f>
        <v>16250</v>
      </c>
      <c r="I24" s="1"/>
      <c r="M24" s="3"/>
    </row>
    <row r="25" spans="1:14" ht="17.25" x14ac:dyDescent="0.3">
      <c r="A25" s="1" t="s">
        <v>177</v>
      </c>
      <c r="B25" s="1"/>
      <c r="C25" s="1"/>
      <c r="D25" s="60" t="s">
        <v>165</v>
      </c>
      <c r="E25" s="60">
        <v>650</v>
      </c>
      <c r="F25" s="3">
        <v>5</v>
      </c>
      <c r="G25" s="183">
        <f>IF(F25="","",F25/8)</f>
        <v>0.625</v>
      </c>
      <c r="H25" s="185">
        <f>IF(E25="","",F25*E25)</f>
        <v>3250</v>
      </c>
      <c r="I25" s="1"/>
      <c r="M25" s="3"/>
    </row>
    <row r="26" spans="1:14" ht="17.25" x14ac:dyDescent="0.3">
      <c r="A26" s="1" t="s">
        <v>178</v>
      </c>
      <c r="B26" s="1"/>
      <c r="C26" s="1"/>
      <c r="D26" s="60" t="s">
        <v>165</v>
      </c>
      <c r="E26" s="60">
        <v>650</v>
      </c>
      <c r="F26" s="3">
        <v>15</v>
      </c>
      <c r="G26" s="183">
        <f>IF(F26="","",F26/8)</f>
        <v>1.875</v>
      </c>
      <c r="H26" s="185">
        <f>IF(E26="","",F26*E26)</f>
        <v>9750</v>
      </c>
      <c r="I26" s="1"/>
      <c r="M26" s="3"/>
    </row>
    <row r="27" spans="1:14" ht="17.25" x14ac:dyDescent="0.3">
      <c r="A27" s="1" t="s">
        <v>168</v>
      </c>
      <c r="B27" s="1"/>
      <c r="C27" s="1"/>
      <c r="D27" s="60" t="s">
        <v>165</v>
      </c>
      <c r="E27" s="60">
        <v>650</v>
      </c>
      <c r="F27" s="3">
        <v>2</v>
      </c>
      <c r="G27" s="183">
        <f>IF(F27="","",F27/8)</f>
        <v>0.25</v>
      </c>
      <c r="H27" s="185">
        <f>IF(E27="","",F27*E27)</f>
        <v>1300</v>
      </c>
      <c r="I27" s="1"/>
    </row>
    <row r="28" spans="1:14" ht="17.25" x14ac:dyDescent="0.3">
      <c r="A28" s="1" t="s">
        <v>169</v>
      </c>
      <c r="B28" s="1"/>
      <c r="C28" s="1"/>
      <c r="D28" s="60" t="s">
        <v>165</v>
      </c>
      <c r="E28" s="60">
        <v>650</v>
      </c>
      <c r="F28" s="3">
        <v>3</v>
      </c>
      <c r="G28" s="183">
        <f>IF(F28="","",F28/8)</f>
        <v>0.375</v>
      </c>
      <c r="H28" s="185">
        <f>IF(E28="","",F28*E28)</f>
        <v>1950</v>
      </c>
      <c r="I28" s="1"/>
    </row>
    <row r="29" spans="1:14" ht="17.25" x14ac:dyDescent="0.3">
      <c r="I29" s="1"/>
    </row>
    <row r="30" spans="1:14" ht="18" thickBot="1" x14ac:dyDescent="0.35">
      <c r="A30" s="1"/>
      <c r="B30" s="1"/>
      <c r="D30" s="60"/>
      <c r="E30" s="60"/>
      <c r="F30" s="3"/>
      <c r="G30" s="183" t="str">
        <f t="shared" ref="G30" si="0">IF(F30="","",F30/8)</f>
        <v/>
      </c>
      <c r="H30" s="185"/>
      <c r="I30" s="1"/>
    </row>
    <row r="31" spans="1:14" ht="18" thickBot="1" x14ac:dyDescent="0.35">
      <c r="G31" s="183" t="str">
        <f t="shared" ref="G31" si="1">IF(F31="","",F31/8)</f>
        <v/>
      </c>
      <c r="H31" s="159"/>
      <c r="I31" s="1"/>
      <c r="J31" s="100" t="s">
        <v>89</v>
      </c>
      <c r="K31" s="102" t="s">
        <v>83</v>
      </c>
      <c r="L31" s="103" t="s">
        <v>78</v>
      </c>
      <c r="M31" s="104" t="s">
        <v>81</v>
      </c>
      <c r="N31" s="101" t="s">
        <v>79</v>
      </c>
    </row>
    <row r="32" spans="1:14" ht="18" x14ac:dyDescent="0.3">
      <c r="A32" s="73"/>
      <c r="B32" s="73"/>
      <c r="D32" s="91"/>
      <c r="F32" s="91" t="s">
        <v>76</v>
      </c>
      <c r="G32" s="73"/>
      <c r="H32" s="184">
        <f>H15+H20+H24</f>
        <v>40834</v>
      </c>
      <c r="I32" s="1"/>
      <c r="J32" s="106">
        <f>H34</f>
        <v>40834</v>
      </c>
      <c r="K32" s="60">
        <f>J32*0.05</f>
        <v>2041.7</v>
      </c>
      <c r="L32" s="60">
        <f>J32-K32</f>
        <v>38792.300000000003</v>
      </c>
      <c r="M32" s="106">
        <f>L32-N32</f>
        <v>22628.841666666667</v>
      </c>
      <c r="N32" s="108">
        <f>L32/2.4</f>
        <v>16163.458333333336</v>
      </c>
    </row>
    <row r="33" spans="1:13" ht="18.75" thickBot="1" x14ac:dyDescent="0.35">
      <c r="A33" s="73"/>
      <c r="B33" s="73"/>
      <c r="C33" s="73"/>
      <c r="F33" s="91" t="s">
        <v>75</v>
      </c>
      <c r="G33" s="74">
        <v>0</v>
      </c>
      <c r="H33" s="184">
        <f>H32*G33</f>
        <v>0</v>
      </c>
      <c r="I33" s="1"/>
      <c r="M33" s="96"/>
    </row>
    <row r="34" spans="1:13" ht="19.5" thickBot="1" x14ac:dyDescent="0.35">
      <c r="A34" s="1"/>
      <c r="B34" s="1"/>
      <c r="C34" s="1"/>
      <c r="D34" s="1"/>
      <c r="F34" s="134" t="s">
        <v>67</v>
      </c>
      <c r="G34" s="135"/>
      <c r="H34" s="186">
        <f>(H32-H33)</f>
        <v>40834</v>
      </c>
      <c r="I34" s="1"/>
      <c r="J34" s="99" t="s">
        <v>80</v>
      </c>
      <c r="K34" s="94"/>
      <c r="L34" s="94"/>
      <c r="M34" s="107">
        <f>M32*0.15</f>
        <v>3394.3262500000001</v>
      </c>
    </row>
    <row r="35" spans="1:13" ht="18" thickBot="1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13" ht="18" thickBot="1" x14ac:dyDescent="0.35">
      <c r="A36" s="78"/>
      <c r="B36" s="78"/>
      <c r="C36" s="78"/>
      <c r="D36" s="78"/>
      <c r="E36" s="78"/>
      <c r="F36" s="78"/>
      <c r="G36" s="78"/>
      <c r="H36" s="78"/>
      <c r="I36" s="1"/>
      <c r="J36" s="98" t="s">
        <v>82</v>
      </c>
      <c r="K36" s="94"/>
      <c r="L36" s="94"/>
      <c r="M36" s="107">
        <f>M32-M34</f>
        <v>19234.515416666669</v>
      </c>
    </row>
    <row r="37" spans="1:13" ht="18" thickBot="1" x14ac:dyDescent="0.35">
      <c r="H37" s="159"/>
      <c r="I37" s="1"/>
    </row>
    <row r="38" spans="1:13" ht="19.5" thickBot="1" x14ac:dyDescent="0.35">
      <c r="A38" s="194" t="s">
        <v>69</v>
      </c>
      <c r="B38" s="147"/>
      <c r="C38" s="148"/>
      <c r="D38" s="1"/>
      <c r="E38" s="3"/>
      <c r="F38" s="1"/>
      <c r="G38" s="1"/>
      <c r="H38" s="1"/>
      <c r="I38" s="1"/>
      <c r="J38" s="1"/>
      <c r="K38" s="93"/>
      <c r="M38" s="96"/>
    </row>
    <row r="39" spans="1:13" ht="18" thickBot="1" x14ac:dyDescent="0.35">
      <c r="A39" s="130" t="s">
        <v>59</v>
      </c>
      <c r="B39" s="121"/>
      <c r="C39" s="121"/>
      <c r="D39" s="121"/>
      <c r="E39" s="121"/>
      <c r="F39" s="121"/>
      <c r="G39" s="199"/>
      <c r="H39" s="122"/>
    </row>
    <row r="40" spans="1:13" ht="18" thickBot="1" x14ac:dyDescent="0.35">
      <c r="I40" s="1"/>
      <c r="J40" s="161" t="s">
        <v>108</v>
      </c>
      <c r="K40" s="161" t="s">
        <v>109</v>
      </c>
      <c r="L40" s="161" t="s">
        <v>110</v>
      </c>
      <c r="M40" s="60"/>
    </row>
    <row r="41" spans="1:13" ht="18" thickBot="1" x14ac:dyDescent="0.35">
      <c r="A41" s="149" t="s">
        <v>77</v>
      </c>
      <c r="B41" s="150"/>
      <c r="C41" s="71"/>
      <c r="D41" s="121" t="s">
        <v>61</v>
      </c>
      <c r="E41" s="121" t="s">
        <v>68</v>
      </c>
      <c r="F41" s="121" t="s">
        <v>70</v>
      </c>
      <c r="G41" s="198"/>
      <c r="H41" s="187">
        <f>SUM(H42:H44)</f>
        <v>12900</v>
      </c>
      <c r="I41" s="1"/>
      <c r="J41" s="162" t="s">
        <v>105</v>
      </c>
      <c r="K41" s="163">
        <v>0.6</v>
      </c>
      <c r="L41" s="164">
        <f>J32*K41</f>
        <v>24500.399999999998</v>
      </c>
    </row>
    <row r="42" spans="1:13" ht="17.25" x14ac:dyDescent="0.3">
      <c r="A42" s="182" t="s">
        <v>172</v>
      </c>
      <c r="B42" s="182"/>
      <c r="C42" s="1"/>
      <c r="D42" s="60"/>
      <c r="E42" s="5">
        <v>50</v>
      </c>
      <c r="F42" s="1">
        <v>193</v>
      </c>
      <c r="G42" s="70"/>
      <c r="H42" s="185">
        <f>F42*E42</f>
        <v>9650</v>
      </c>
      <c r="I42" s="1"/>
      <c r="J42" s="162" t="s">
        <v>106</v>
      </c>
      <c r="K42" s="163">
        <v>0.32</v>
      </c>
      <c r="L42" s="164">
        <f>J32*K42</f>
        <v>13066.880000000001</v>
      </c>
    </row>
    <row r="43" spans="1:13" ht="18" thickBot="1" x14ac:dyDescent="0.35">
      <c r="A43" s="1" t="s">
        <v>170</v>
      </c>
      <c r="H43" s="185">
        <v>1950</v>
      </c>
      <c r="J43" s="165" t="s">
        <v>107</v>
      </c>
      <c r="K43" s="166">
        <v>0.08</v>
      </c>
      <c r="L43" s="167">
        <f>J32*K43</f>
        <v>3266.7200000000003</v>
      </c>
      <c r="M43" s="1"/>
    </row>
    <row r="44" spans="1:13" ht="18" thickBot="1" x14ac:dyDescent="0.35">
      <c r="A44" s="1" t="s">
        <v>171</v>
      </c>
      <c r="H44" s="185">
        <v>1300</v>
      </c>
      <c r="J44" s="168" t="s">
        <v>3</v>
      </c>
      <c r="K44" s="169">
        <f>SUM(K41:K43)</f>
        <v>0.99999999999999989</v>
      </c>
      <c r="L44" s="160">
        <f>SUM(L41:L43)</f>
        <v>40834</v>
      </c>
      <c r="M44" s="1"/>
    </row>
    <row r="45" spans="1:13" ht="18" thickBot="1" x14ac:dyDescent="0.35">
      <c r="A45" s="1"/>
      <c r="H45" s="185"/>
      <c r="J45" s="267"/>
      <c r="K45" s="268"/>
      <c r="L45" s="269"/>
      <c r="M45" s="1"/>
    </row>
    <row r="46" spans="1:13" ht="18" thickBot="1" x14ac:dyDescent="0.35">
      <c r="A46" s="371" t="s">
        <v>176</v>
      </c>
      <c r="B46" s="372"/>
      <c r="C46" s="196"/>
      <c r="D46" s="196"/>
      <c r="E46" s="196"/>
      <c r="F46" s="196"/>
      <c r="G46" s="196"/>
      <c r="H46" s="187">
        <f>SUM(H47:H49)</f>
        <v>10560</v>
      </c>
      <c r="J46" s="267"/>
      <c r="K46" s="268"/>
      <c r="L46" s="269"/>
      <c r="M46" s="1"/>
    </row>
    <row r="47" spans="1:13" ht="17.25" x14ac:dyDescent="0.3">
      <c r="A47" s="182" t="s">
        <v>173</v>
      </c>
      <c r="E47" s="5">
        <v>180</v>
      </c>
      <c r="F47" s="1">
        <v>32</v>
      </c>
      <c r="H47" s="185">
        <f>F47*E47</f>
        <v>5760</v>
      </c>
      <c r="J47" s="267"/>
      <c r="K47" s="268"/>
      <c r="L47" s="269"/>
      <c r="M47" s="1"/>
    </row>
    <row r="48" spans="1:13" ht="17.25" x14ac:dyDescent="0.3">
      <c r="A48" s="182" t="s">
        <v>174</v>
      </c>
      <c r="E48" s="5">
        <v>150</v>
      </c>
      <c r="F48" s="1">
        <v>32</v>
      </c>
      <c r="H48" s="185">
        <f>F48*E48</f>
        <v>4800</v>
      </c>
      <c r="J48" s="267"/>
      <c r="K48" s="268"/>
      <c r="L48" s="269"/>
      <c r="M48" s="1"/>
    </row>
    <row r="49" spans="1:13" ht="18" thickBot="1" x14ac:dyDescent="0.35">
      <c r="J49" s="267"/>
      <c r="K49" s="268"/>
      <c r="L49" s="269"/>
      <c r="M49" s="1"/>
    </row>
    <row r="50" spans="1:13" ht="18" thickBot="1" x14ac:dyDescent="0.35">
      <c r="A50" s="371" t="s">
        <v>175</v>
      </c>
      <c r="B50" s="372"/>
      <c r="C50" s="196"/>
      <c r="D50" s="196"/>
      <c r="E50" s="196"/>
      <c r="F50" s="196"/>
      <c r="G50" s="196"/>
      <c r="H50" s="187">
        <f>SUM(H51:H54)</f>
        <v>17450</v>
      </c>
      <c r="J50" s="267"/>
      <c r="K50" s="268"/>
      <c r="L50" s="269"/>
      <c r="M50" s="1"/>
    </row>
    <row r="51" spans="1:13" ht="17.25" x14ac:dyDescent="0.3">
      <c r="A51" s="1" t="s">
        <v>177</v>
      </c>
      <c r="B51" s="182"/>
      <c r="D51" s="60" t="s">
        <v>73</v>
      </c>
      <c r="E51" s="5">
        <v>100</v>
      </c>
      <c r="F51" s="1">
        <v>32</v>
      </c>
      <c r="G51" s="1"/>
      <c r="H51" s="185">
        <f>F51*E51</f>
        <v>3200</v>
      </c>
      <c r="M51" s="1"/>
    </row>
    <row r="52" spans="1:13" ht="17.25" x14ac:dyDescent="0.3">
      <c r="A52" s="1" t="s">
        <v>178</v>
      </c>
      <c r="B52" s="182"/>
      <c r="D52" s="60" t="s">
        <v>73</v>
      </c>
      <c r="E52" s="5">
        <v>50</v>
      </c>
      <c r="F52" s="1">
        <v>193</v>
      </c>
      <c r="G52" s="1"/>
      <c r="H52" s="185">
        <f>F52*E52</f>
        <v>9650</v>
      </c>
      <c r="M52" s="1"/>
    </row>
    <row r="53" spans="1:13" ht="17.25" x14ac:dyDescent="0.3">
      <c r="A53" s="1" t="s">
        <v>168</v>
      </c>
      <c r="B53" s="182"/>
      <c r="D53" s="60" t="s">
        <v>73</v>
      </c>
      <c r="E53" s="5">
        <v>6</v>
      </c>
      <c r="F53" s="1">
        <v>225</v>
      </c>
      <c r="G53" s="1"/>
      <c r="H53" s="185">
        <f>F53*E53</f>
        <v>1350</v>
      </c>
      <c r="M53" s="1"/>
    </row>
    <row r="54" spans="1:13" ht="17.25" x14ac:dyDescent="0.3">
      <c r="A54" s="1" t="s">
        <v>169</v>
      </c>
      <c r="B54" s="182"/>
      <c r="D54" s="60" t="s">
        <v>73</v>
      </c>
      <c r="E54" s="5">
        <v>50</v>
      </c>
      <c r="F54" s="1">
        <v>65</v>
      </c>
      <c r="G54" s="1"/>
      <c r="H54" s="185">
        <f>F54*E54</f>
        <v>3250</v>
      </c>
      <c r="M54" s="1"/>
    </row>
    <row r="55" spans="1:13" ht="17.25" x14ac:dyDescent="0.3">
      <c r="M55" s="1"/>
    </row>
    <row r="56" spans="1:13" ht="18" x14ac:dyDescent="0.3">
      <c r="A56" s="73"/>
      <c r="C56" s="73"/>
      <c r="D56" s="73"/>
      <c r="F56" s="91" t="s">
        <v>113</v>
      </c>
      <c r="G56" s="73"/>
      <c r="H56" s="184">
        <f>H41+H46+H50</f>
        <v>40910</v>
      </c>
      <c r="J56" s="159"/>
      <c r="M56" s="1"/>
    </row>
    <row r="57" spans="1:13" ht="18.75" thickBot="1" x14ac:dyDescent="0.35">
      <c r="A57" s="73"/>
      <c r="B57" s="73"/>
      <c r="C57" s="73"/>
      <c r="E57" s="133"/>
      <c r="F57" s="91" t="s">
        <v>75</v>
      </c>
      <c r="G57" s="74">
        <v>0</v>
      </c>
      <c r="H57" s="184">
        <f>H56*G57</f>
        <v>0</v>
      </c>
      <c r="J57" s="159"/>
      <c r="M57" s="1"/>
    </row>
    <row r="58" spans="1:13" ht="19.5" thickBot="1" x14ac:dyDescent="0.35">
      <c r="A58" s="1"/>
      <c r="B58" s="1"/>
      <c r="C58" s="1"/>
      <c r="D58" s="1"/>
      <c r="E58" s="1"/>
      <c r="F58" s="1"/>
      <c r="G58" s="75" t="s">
        <v>67</v>
      </c>
      <c r="H58" s="186">
        <f>H56</f>
        <v>40910</v>
      </c>
      <c r="L58" s="1"/>
      <c r="M58" s="93"/>
    </row>
    <row r="59" spans="1:13" ht="17.25" x14ac:dyDescent="0.3">
      <c r="A59" s="1"/>
      <c r="B59" s="1"/>
      <c r="C59" s="1"/>
      <c r="D59" s="1"/>
      <c r="E59" s="1"/>
      <c r="F59" s="1"/>
      <c r="G59" s="1"/>
      <c r="H59" s="1"/>
    </row>
    <row r="60" spans="1:13" ht="17.25" x14ac:dyDescent="0.3">
      <c r="A60" s="78"/>
      <c r="B60" s="78"/>
      <c r="C60" s="78"/>
      <c r="D60" s="78"/>
      <c r="E60" s="78"/>
      <c r="F60" s="78"/>
      <c r="G60" s="78"/>
      <c r="H60" s="78"/>
      <c r="J60" s="5"/>
      <c r="K60" s="5"/>
      <c r="M60" s="1"/>
    </row>
    <row r="61" spans="1:13" ht="18" thickBot="1" x14ac:dyDescent="0.35">
      <c r="L61" s="1"/>
      <c r="M61" s="1"/>
    </row>
    <row r="62" spans="1:13" ht="19.5" thickBot="1" x14ac:dyDescent="0.35">
      <c r="A62" s="195" t="s">
        <v>65</v>
      </c>
      <c r="B62" s="196"/>
      <c r="C62" s="197"/>
      <c r="D62" s="1"/>
      <c r="E62" s="1"/>
      <c r="F62" s="1"/>
      <c r="G62" s="1"/>
      <c r="H62" s="1"/>
      <c r="J62" t="s">
        <v>101</v>
      </c>
      <c r="K62" t="s">
        <v>102</v>
      </c>
      <c r="L62" t="s">
        <v>103</v>
      </c>
      <c r="M62" t="s">
        <v>104</v>
      </c>
    </row>
    <row r="63" spans="1:13" ht="18" thickBot="1" x14ac:dyDescent="0.35">
      <c r="A63" s="130" t="s">
        <v>13</v>
      </c>
      <c r="B63" s="121"/>
      <c r="C63" s="121"/>
      <c r="D63" s="191"/>
      <c r="E63" s="192"/>
      <c r="F63" s="121" t="s">
        <v>68</v>
      </c>
      <c r="G63" s="192" t="s">
        <v>14</v>
      </c>
      <c r="H63" s="193" t="s">
        <v>87</v>
      </c>
      <c r="J63" s="153" t="s">
        <v>93</v>
      </c>
      <c r="K63" s="158">
        <v>20000</v>
      </c>
      <c r="L63" s="92">
        <v>1</v>
      </c>
      <c r="M63" s="155">
        <f t="shared" ref="M63:M70" si="2">K63*L63</f>
        <v>20000</v>
      </c>
    </row>
    <row r="64" spans="1:13" ht="17.25" x14ac:dyDescent="0.3">
      <c r="A64" s="14"/>
      <c r="B64" s="14"/>
      <c r="C64" s="14"/>
      <c r="D64" s="14"/>
      <c r="E64" s="151"/>
      <c r="F64" s="151"/>
      <c r="G64" s="124"/>
      <c r="H64" s="151"/>
      <c r="J64" s="118" t="s">
        <v>94</v>
      </c>
      <c r="K64" s="159">
        <v>3000</v>
      </c>
      <c r="L64">
        <v>4</v>
      </c>
      <c r="M64" s="156">
        <f t="shared" si="2"/>
        <v>12000</v>
      </c>
    </row>
    <row r="65" spans="1:13" ht="17.25" x14ac:dyDescent="0.3">
      <c r="A65" s="1" t="s">
        <v>129</v>
      </c>
      <c r="B65" s="61"/>
      <c r="C65" s="4"/>
      <c r="D65" s="1"/>
      <c r="E65" s="60"/>
      <c r="F65" s="60">
        <v>10000</v>
      </c>
      <c r="G65" s="3">
        <v>200</v>
      </c>
      <c r="H65" s="60">
        <f>G65*F65</f>
        <v>2000000</v>
      </c>
      <c r="J65" s="118" t="s">
        <v>95</v>
      </c>
      <c r="K65" s="159">
        <v>5000</v>
      </c>
      <c r="L65">
        <v>2</v>
      </c>
      <c r="M65" s="156">
        <f t="shared" si="2"/>
        <v>10000</v>
      </c>
    </row>
    <row r="66" spans="1:13" ht="17.25" x14ac:dyDescent="0.3">
      <c r="A66" s="1"/>
      <c r="B66" s="61"/>
      <c r="F66" s="60"/>
      <c r="G66" s="3"/>
      <c r="H66" s="60"/>
      <c r="J66" s="118" t="s">
        <v>96</v>
      </c>
      <c r="K66" s="159">
        <v>8000</v>
      </c>
      <c r="L66">
        <v>1</v>
      </c>
      <c r="M66" s="156">
        <f t="shared" si="2"/>
        <v>8000</v>
      </c>
    </row>
    <row r="67" spans="1:13" ht="17.25" x14ac:dyDescent="0.3">
      <c r="A67" s="1"/>
      <c r="J67" s="118" t="s">
        <v>100</v>
      </c>
      <c r="K67" s="159">
        <v>5000</v>
      </c>
      <c r="L67">
        <v>1</v>
      </c>
      <c r="M67" s="156">
        <f t="shared" si="2"/>
        <v>5000</v>
      </c>
    </row>
    <row r="68" spans="1:13" ht="18" thickBot="1" x14ac:dyDescent="0.35">
      <c r="A68" s="1"/>
      <c r="B68" s="1"/>
      <c r="C68" s="1"/>
      <c r="D68" s="1" t="s">
        <v>128</v>
      </c>
      <c r="E68" s="60"/>
      <c r="F68" s="60"/>
      <c r="G68" s="3"/>
      <c r="H68" s="60"/>
      <c r="J68" s="118" t="s">
        <v>97</v>
      </c>
      <c r="K68" s="159">
        <v>2000</v>
      </c>
      <c r="L68">
        <v>1</v>
      </c>
      <c r="M68" s="156">
        <f t="shared" si="2"/>
        <v>2000</v>
      </c>
    </row>
    <row r="69" spans="1:13" ht="18" thickBot="1" x14ac:dyDescent="0.35">
      <c r="A69" s="1"/>
      <c r="B69" s="1"/>
      <c r="C69" s="1"/>
      <c r="D69" s="1"/>
      <c r="E69" s="120"/>
      <c r="F69" s="62" t="s">
        <v>3</v>
      </c>
      <c r="G69" s="63">
        <f>SUM(G64:G67)</f>
        <v>200</v>
      </c>
      <c r="H69" s="97">
        <f>SUM(H64:H68)</f>
        <v>2000000</v>
      </c>
      <c r="J69" s="118" t="s">
        <v>98</v>
      </c>
      <c r="K69" s="159">
        <v>7000</v>
      </c>
      <c r="L69">
        <v>1</v>
      </c>
      <c r="M69" s="156">
        <f t="shared" si="2"/>
        <v>7000</v>
      </c>
    </row>
    <row r="70" spans="1:13" ht="15.75" thickBot="1" x14ac:dyDescent="0.3">
      <c r="J70" s="118" t="s">
        <v>99</v>
      </c>
      <c r="K70" s="159">
        <v>15000</v>
      </c>
      <c r="L70">
        <v>1</v>
      </c>
      <c r="M70" s="156">
        <f t="shared" si="2"/>
        <v>15000</v>
      </c>
    </row>
    <row r="71" spans="1:13" ht="19.5" thickBot="1" x14ac:dyDescent="0.35">
      <c r="A71" s="205" t="s">
        <v>35</v>
      </c>
      <c r="B71" s="200"/>
      <c r="C71" s="200"/>
      <c r="D71" s="200"/>
      <c r="E71" s="367">
        <f>H69</f>
        <v>2000000</v>
      </c>
      <c r="F71" s="368"/>
      <c r="G71" s="368"/>
      <c r="H71" s="369"/>
      <c r="I71" s="1"/>
      <c r="J71" s="154"/>
      <c r="K71" s="119"/>
      <c r="L71" s="119"/>
      <c r="M71" s="157">
        <f>SUM(M63:M70)</f>
        <v>79000</v>
      </c>
    </row>
    <row r="72" spans="1:13" ht="18.75" x14ac:dyDescent="0.3">
      <c r="A72" s="202" t="s">
        <v>84</v>
      </c>
      <c r="B72" s="201"/>
      <c r="C72" s="201"/>
      <c r="D72" s="201"/>
      <c r="E72" s="370" t="s">
        <v>130</v>
      </c>
      <c r="F72" s="370"/>
      <c r="G72" s="370"/>
      <c r="H72" s="370"/>
    </row>
    <row r="73" spans="1:13" ht="15.75" thickBot="1" x14ac:dyDescent="0.3"/>
    <row r="74" spans="1:13" ht="20.25" thickBot="1" x14ac:dyDescent="0.3">
      <c r="A74" s="204" t="s">
        <v>44</v>
      </c>
      <c r="B74" s="59"/>
      <c r="C74" s="59"/>
      <c r="D74" s="59"/>
      <c r="E74" s="59"/>
      <c r="F74" s="59"/>
      <c r="G74" s="59"/>
      <c r="H74" s="129"/>
    </row>
    <row r="76" spans="1:13" ht="17.25" x14ac:dyDescent="0.25">
      <c r="A76" s="126" t="s">
        <v>21</v>
      </c>
      <c r="B76" s="127"/>
      <c r="C76" s="127"/>
      <c r="D76" s="128"/>
      <c r="E76" s="207">
        <f>IF($E$72="Medium",IF($E$71&gt;Data!D48,IF($E$71&gt;Data!D49,IF($E$71&gt;Data!D50,IF($E$71&gt;Data!D51,IF($E$71&gt;Data!D52,IF($E$71&gt;Data!D53,IF($E$71&gt;Data!D54,IF($E$71&gt;Data!D55,IF($E$71&gt;Data!D56,IF($E$71&gt;Data!D57,IF($E$71&gt;Data!D58,Data!E59,Data!E58),Data!E57),Data!E56),Data!E55),Data!E54),Data!E53),Data!E52),Data!E51),Data!E50),Data!E49),Data!E48),IF($E$72="High",(IF($E$71&gt;Data!D29,IF($E$71&gt;Data!D30,IF($E$71&gt;Data!D31,IF($E$71&gt;Data!D32,IF($E$71&gt;Data!D33,IF($E$71&gt;Data!D34,IF($E$71&gt;Data!D35,IF($E$71&gt;Data!D36,IF($E$71&gt;Data!D37,IF($E$71&gt;Data!D38,IF($E$71&gt;Data!D39,Data!E40,Data!E39),Data!E37),Data!E36),Data!E35),Data!E34),Data!E33),Data!E52),Data!E32),Data!E31),Data!E30),Data!E29)),IF($E$72="Low",(IF($E$71&gt;Data!D67,IF($E$71&gt;Data!D68,IF($E$71&gt;Data!D69,IF($E$71&gt;Data!D70,IF($E$71&gt;Data!D71,IF($E$71&gt;Data!D72,IF($E$71&gt;Data!D73,IF($E$71&gt;Data!D74,IF($E$71&gt;Data!D75,IF($E$71&gt;Data!D76,IF($E$71&gt;Data!D77,Data!E78,Data!E77),Data!E76),Data!E75),Data!E74),Data!E73),Data!E72),Data!E71),Data!E70),Data!E69),Data!E68),Data!E67)))))</f>
        <v>89897.22</v>
      </c>
      <c r="F76" s="131"/>
      <c r="G76" s="131"/>
      <c r="H76" s="132"/>
    </row>
    <row r="77" spans="1:13" ht="17.25" x14ac:dyDescent="0.25">
      <c r="A77" s="136" t="s">
        <v>49</v>
      </c>
      <c r="B77" s="61"/>
      <c r="C77" s="61"/>
      <c r="D77" s="137"/>
      <c r="E77" s="208">
        <f>IF($E$72="Medium",($E$71-(VLOOKUP($E$76,Data!E48:G59,3,FALSE)))*(VLOOKUP($E$76,Data!E48:G59,2,FALSE)),IF($E$72="High",($E$71-(VLOOKUP($E$76,Data!E29:G40,3,FALSE)))*(VLOOKUP($E$76,Data!E29:G40,2,FALSE)),IF($E$72="Low",($E$71-(VLOOKUP($E$76,Data!E66:G78,3,FALSE)))*(VLOOKUP($E$76,Data!E66:G78,2,FALSE)))))</f>
        <v>156329.8842</v>
      </c>
      <c r="F77" s="79"/>
      <c r="G77" s="79"/>
      <c r="H77" s="141"/>
    </row>
    <row r="78" spans="1:13" ht="17.25" x14ac:dyDescent="0.25">
      <c r="A78" s="136"/>
      <c r="B78" s="61"/>
      <c r="C78" s="61"/>
      <c r="D78" s="137"/>
      <c r="E78" s="208">
        <f>E76+E77</f>
        <v>246227.1042</v>
      </c>
      <c r="F78" s="79"/>
      <c r="G78" s="79"/>
      <c r="H78" s="141"/>
    </row>
    <row r="79" spans="1:13" ht="17.25" x14ac:dyDescent="0.25">
      <c r="A79" s="136" t="s">
        <v>52</v>
      </c>
      <c r="B79" s="61"/>
      <c r="C79" s="61"/>
      <c r="D79" s="137"/>
      <c r="E79" s="209">
        <v>0</v>
      </c>
      <c r="F79" s="4"/>
      <c r="G79" s="4"/>
      <c r="H79" s="144"/>
    </row>
    <row r="80" spans="1:13" ht="18" x14ac:dyDescent="0.25">
      <c r="A80" s="138" t="s">
        <v>54</v>
      </c>
      <c r="B80" s="139"/>
      <c r="C80" s="139"/>
      <c r="D80" s="140"/>
      <c r="E80" s="210">
        <f>E78+E79</f>
        <v>246227.1042</v>
      </c>
      <c r="F80" s="142"/>
      <c r="G80" s="142"/>
      <c r="H80" s="143"/>
    </row>
    <row r="81" spans="1:11" ht="15.75" thickBot="1" x14ac:dyDescent="0.3"/>
    <row r="82" spans="1:11" ht="19.5" thickBot="1" x14ac:dyDescent="0.35">
      <c r="A82" s="206" t="s">
        <v>36</v>
      </c>
      <c r="B82" s="145"/>
      <c r="C82" s="145"/>
      <c r="D82" s="146"/>
      <c r="E82" s="112" t="s">
        <v>37</v>
      </c>
      <c r="F82" s="112" t="s">
        <v>117</v>
      </c>
      <c r="G82" s="123" t="s">
        <v>66</v>
      </c>
      <c r="H82" s="112" t="s">
        <v>116</v>
      </c>
    </row>
    <row r="83" spans="1:11" ht="17.25" x14ac:dyDescent="0.3">
      <c r="A83" s="84" t="s">
        <v>123</v>
      </c>
      <c r="B83" s="124" t="s">
        <v>127</v>
      </c>
      <c r="C83" s="124"/>
      <c r="D83" s="124"/>
      <c r="E83" s="109">
        <v>0.02</v>
      </c>
      <c r="F83" s="83">
        <f>$E$80*E83</f>
        <v>4924.5420839999997</v>
      </c>
      <c r="G83" s="109">
        <v>0.3</v>
      </c>
      <c r="H83" s="110">
        <f>IF(G83=0,F83,F83-(F83*G83))</f>
        <v>3447.1794587999998</v>
      </c>
    </row>
    <row r="84" spans="1:11" ht="17.25" x14ac:dyDescent="0.3">
      <c r="A84" s="88" t="s">
        <v>122</v>
      </c>
      <c r="B84" s="3" t="s">
        <v>125</v>
      </c>
      <c r="C84" s="3"/>
      <c r="D84" s="3"/>
      <c r="E84" s="212">
        <v>0.15</v>
      </c>
      <c r="F84" s="5">
        <f t="shared" ref="F84:F89" si="3">$E$80*E84</f>
        <v>36934.065629999997</v>
      </c>
      <c r="G84" s="212">
        <v>0.3</v>
      </c>
      <c r="H84" s="87">
        <f t="shared" ref="H84:H89" si="4">IF(G84=0,F84,F84-(F84*G84))</f>
        <v>25853.845941</v>
      </c>
    </row>
    <row r="85" spans="1:11" ht="17.25" x14ac:dyDescent="0.3">
      <c r="A85" s="88" t="s">
        <v>121</v>
      </c>
      <c r="B85" s="3" t="s">
        <v>124</v>
      </c>
      <c r="C85" s="3"/>
      <c r="D85" s="3"/>
      <c r="E85" s="212">
        <v>0.2</v>
      </c>
      <c r="F85" s="5">
        <f t="shared" si="3"/>
        <v>49245.420840000006</v>
      </c>
      <c r="G85" s="212">
        <v>0.3</v>
      </c>
      <c r="H85" s="87">
        <f t="shared" si="4"/>
        <v>34471.794588000004</v>
      </c>
      <c r="J85" s="216"/>
    </row>
    <row r="86" spans="1:11" ht="17.25" x14ac:dyDescent="0.3">
      <c r="A86" s="88" t="s">
        <v>45</v>
      </c>
      <c r="B86" s="3" t="s">
        <v>46</v>
      </c>
      <c r="C86" s="3"/>
      <c r="D86" s="3"/>
      <c r="E86" s="212">
        <v>0.1</v>
      </c>
      <c r="F86" s="5">
        <f t="shared" si="3"/>
        <v>24622.710420000003</v>
      </c>
      <c r="G86" s="212">
        <v>0.2</v>
      </c>
      <c r="H86" s="87">
        <f t="shared" si="4"/>
        <v>19698.168336000002</v>
      </c>
      <c r="J86" s="216"/>
    </row>
    <row r="87" spans="1:11" ht="17.25" x14ac:dyDescent="0.3">
      <c r="A87" s="88" t="s">
        <v>57</v>
      </c>
      <c r="B87" s="3" t="s">
        <v>47</v>
      </c>
      <c r="C87" s="3"/>
      <c r="D87" s="3"/>
      <c r="E87" s="212">
        <v>0.2</v>
      </c>
      <c r="F87" s="5">
        <f t="shared" si="3"/>
        <v>49245.420840000006</v>
      </c>
      <c r="G87" s="212">
        <v>0.2</v>
      </c>
      <c r="H87" s="87">
        <f>IF(G87=0,F87,F87-(F87*G87))</f>
        <v>39396.336672000005</v>
      </c>
      <c r="J87" s="216"/>
    </row>
    <row r="88" spans="1:11" ht="17.25" x14ac:dyDescent="0.3">
      <c r="A88" s="88" t="s">
        <v>50</v>
      </c>
      <c r="B88" s="3" t="s">
        <v>126</v>
      </c>
      <c r="C88" s="3"/>
      <c r="D88" s="3"/>
      <c r="E88" s="212">
        <v>0.3</v>
      </c>
      <c r="F88" s="5">
        <f t="shared" si="3"/>
        <v>73868.131259999995</v>
      </c>
      <c r="G88" s="212">
        <v>0</v>
      </c>
      <c r="H88" s="87">
        <f>IF(G88=0,F88,F88-(F88*G88))</f>
        <v>73868.131259999995</v>
      </c>
      <c r="J88" s="216"/>
    </row>
    <row r="89" spans="1:11" ht="18" thickBot="1" x14ac:dyDescent="0.35">
      <c r="A89" s="89" t="s">
        <v>120</v>
      </c>
      <c r="B89" s="125" t="s">
        <v>119</v>
      </c>
      <c r="C89" s="125"/>
      <c r="D89" s="125"/>
      <c r="E89" s="111">
        <v>0.03</v>
      </c>
      <c r="F89" s="85">
        <f t="shared" si="3"/>
        <v>7386.813126</v>
      </c>
      <c r="G89" s="111">
        <v>0</v>
      </c>
      <c r="H89" s="86">
        <f t="shared" si="4"/>
        <v>7386.813126</v>
      </c>
      <c r="J89" s="217"/>
    </row>
    <row r="90" spans="1:11" ht="18" thickBot="1" x14ac:dyDescent="0.35">
      <c r="A90" s="1"/>
      <c r="B90" s="1"/>
      <c r="C90" s="1"/>
      <c r="F90" s="1"/>
      <c r="G90" s="3"/>
      <c r="H90" s="1"/>
    </row>
    <row r="91" spans="1:11" ht="19.5" thickBot="1" x14ac:dyDescent="0.35">
      <c r="A91" s="1"/>
      <c r="B91" s="1"/>
      <c r="C91" s="1"/>
      <c r="E91" s="360" t="s">
        <v>90</v>
      </c>
      <c r="F91" s="361"/>
      <c r="G91" s="362"/>
      <c r="H91" s="117">
        <f>H92*(1-(SUM(H83:H89)/H92))</f>
        <v>42104.834818200012</v>
      </c>
    </row>
    <row r="92" spans="1:11" ht="19.5" thickBot="1" x14ac:dyDescent="0.35">
      <c r="B92" s="113"/>
      <c r="C92" s="113"/>
      <c r="E92" s="360" t="s">
        <v>53</v>
      </c>
      <c r="F92" s="361"/>
      <c r="G92" s="362"/>
      <c r="H92" s="117">
        <f>SUM(F83:F89)</f>
        <v>246227.1042</v>
      </c>
    </row>
    <row r="93" spans="1:11" ht="15.75" thickBot="1" x14ac:dyDescent="0.3"/>
    <row r="94" spans="1:11" ht="18.75" thickBot="1" x14ac:dyDescent="0.3">
      <c r="E94" s="363" t="s">
        <v>114</v>
      </c>
      <c r="F94" s="364"/>
      <c r="G94" s="365"/>
      <c r="H94" s="114">
        <f>H92-H91</f>
        <v>204122.2693818</v>
      </c>
    </row>
    <row r="95" spans="1:11" ht="17.25" x14ac:dyDescent="0.3">
      <c r="A95" s="1"/>
      <c r="B95" s="211"/>
      <c r="C95" s="188"/>
      <c r="D95" s="188"/>
      <c r="E95" s="60"/>
      <c r="F95" s="170"/>
      <c r="G95" s="4"/>
      <c r="H95" s="79"/>
    </row>
    <row r="96" spans="1:11" x14ac:dyDescent="0.25">
      <c r="K96" s="93"/>
    </row>
    <row r="97" spans="4:13" x14ac:dyDescent="0.25">
      <c r="D97" s="366"/>
      <c r="E97" s="366"/>
    </row>
    <row r="99" spans="4:13" x14ac:dyDescent="0.25">
      <c r="D99" s="366"/>
      <c r="E99" s="366"/>
      <c r="M99" s="159"/>
    </row>
    <row r="101" spans="4:13" x14ac:dyDescent="0.25">
      <c r="D101" s="366"/>
      <c r="E101" s="366"/>
      <c r="F101" s="366"/>
      <c r="G101" s="366"/>
    </row>
    <row r="102" spans="4:13" x14ac:dyDescent="0.25">
      <c r="D102" s="366"/>
      <c r="E102" s="366"/>
      <c r="F102" s="366"/>
      <c r="G102" s="366"/>
    </row>
    <row r="103" spans="4:13" x14ac:dyDescent="0.25">
      <c r="D103" s="366"/>
      <c r="E103" s="366"/>
      <c r="F103" s="366"/>
      <c r="G103" s="366"/>
    </row>
    <row r="104" spans="4:13" x14ac:dyDescent="0.25">
      <c r="D104" s="366"/>
      <c r="E104" s="366"/>
      <c r="F104" s="366"/>
      <c r="G104" s="366"/>
    </row>
    <row r="105" spans="4:13" x14ac:dyDescent="0.25">
      <c r="D105" s="366"/>
      <c r="E105" s="366"/>
      <c r="F105" s="366"/>
      <c r="G105" s="366"/>
    </row>
    <row r="106" spans="4:13" x14ac:dyDescent="0.25">
      <c r="D106" s="366"/>
      <c r="E106" s="366"/>
      <c r="F106" s="366"/>
      <c r="G106" s="366"/>
    </row>
    <row r="107" spans="4:13" x14ac:dyDescent="0.25">
      <c r="D107" s="366"/>
      <c r="E107" s="366"/>
      <c r="F107" s="366"/>
      <c r="G107" s="366"/>
    </row>
    <row r="108" spans="4:13" x14ac:dyDescent="0.25">
      <c r="D108" s="366"/>
      <c r="E108" s="366"/>
      <c r="F108" s="366"/>
      <c r="G108" s="366"/>
    </row>
    <row r="110" spans="4:13" ht="22.5" customHeight="1" x14ac:dyDescent="0.25">
      <c r="D110" s="366"/>
      <c r="E110" s="366"/>
      <c r="F110" s="366"/>
      <c r="G110" s="366"/>
    </row>
    <row r="112" spans="4:13" x14ac:dyDescent="0.25">
      <c r="J112" s="213"/>
      <c r="L112" s="159"/>
    </row>
    <row r="113" spans="4:14" x14ac:dyDescent="0.25">
      <c r="L113" s="213"/>
      <c r="M113" s="159"/>
    </row>
    <row r="115" spans="4:14" x14ac:dyDescent="0.25">
      <c r="M115" s="93"/>
    </row>
    <row r="118" spans="4:14" x14ac:dyDescent="0.25">
      <c r="N118" s="159"/>
    </row>
    <row r="121" spans="4:14" x14ac:dyDescent="0.25">
      <c r="K121" s="116"/>
    </row>
    <row r="122" spans="4:14" x14ac:dyDescent="0.25">
      <c r="K122" s="115"/>
    </row>
    <row r="123" spans="4:14" x14ac:dyDescent="0.25">
      <c r="D123" s="366"/>
      <c r="E123" s="366"/>
    </row>
    <row r="124" spans="4:14" x14ac:dyDescent="0.25">
      <c r="D124" s="366"/>
      <c r="E124" s="366"/>
    </row>
    <row r="125" spans="4:14" x14ac:dyDescent="0.25">
      <c r="D125" s="366"/>
      <c r="E125" s="366"/>
    </row>
  </sheetData>
  <mergeCells count="38">
    <mergeCell ref="A46:B46"/>
    <mergeCell ref="A50:B50"/>
    <mergeCell ref="J15:L15"/>
    <mergeCell ref="J17:L17"/>
    <mergeCell ref="A11:H11"/>
    <mergeCell ref="A13:C13"/>
    <mergeCell ref="A14:C14"/>
    <mergeCell ref="A15:B15"/>
    <mergeCell ref="A20:B20"/>
    <mergeCell ref="A24:B24"/>
    <mergeCell ref="D125:E125"/>
    <mergeCell ref="D123:E123"/>
    <mergeCell ref="E91:G91"/>
    <mergeCell ref="E71:H71"/>
    <mergeCell ref="E72:H72"/>
    <mergeCell ref="F101:G101"/>
    <mergeCell ref="F102:G102"/>
    <mergeCell ref="F103:G103"/>
    <mergeCell ref="F104:G104"/>
    <mergeCell ref="F105:G105"/>
    <mergeCell ref="F106:G106"/>
    <mergeCell ref="F107:G107"/>
    <mergeCell ref="D110:E110"/>
    <mergeCell ref="D101:E101"/>
    <mergeCell ref="D99:E99"/>
    <mergeCell ref="D97:E97"/>
    <mergeCell ref="E92:G92"/>
    <mergeCell ref="E94:G94"/>
    <mergeCell ref="D124:E124"/>
    <mergeCell ref="D102:E102"/>
    <mergeCell ref="D103:E103"/>
    <mergeCell ref="D104:E104"/>
    <mergeCell ref="D105:E105"/>
    <mergeCell ref="D106:E106"/>
    <mergeCell ref="D107:E107"/>
    <mergeCell ref="F110:G110"/>
    <mergeCell ref="D108:E108"/>
    <mergeCell ref="F108:G108"/>
  </mergeCells>
  <phoneticPr fontId="25" type="noConversion"/>
  <dataValidations disablePrompts="1" count="3">
    <dataValidation type="list" allowBlank="1" showInputMessage="1" showErrorMessage="1" sqref="E72" xr:uid="{ECF54CF7-43CA-4261-8A26-6CBCF5480061}">
      <formula1>"Low,Medium,High"</formula1>
    </dataValidation>
    <dataValidation type="list" allowBlank="1" showInputMessage="1" showErrorMessage="1" sqref="D30:D31 D42 D51:D54" xr:uid="{2BB1E22E-ADAA-4776-ABC7-D83DC0E96954}">
      <formula1>"Dewald, Hannes, Johan"</formula1>
    </dataValidation>
    <dataValidation type="list" allowBlank="1" showInputMessage="1" showErrorMessage="1" sqref="D16 D21:D23 D25:D28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9D2E-38EC-493F-8E89-3490E5E8A33C}">
  <dimension ref="A1:R38"/>
  <sheetViews>
    <sheetView tabSelected="1" topLeftCell="A8" workbookViewId="0">
      <selection activeCell="J23" sqref="J23"/>
    </sheetView>
  </sheetViews>
  <sheetFormatPr defaultRowHeight="15" x14ac:dyDescent="0.25"/>
  <cols>
    <col min="1" max="1" width="3.28515625" customWidth="1"/>
    <col min="2" max="2" width="42.42578125" customWidth="1"/>
    <col min="3" max="3" width="10" bestFit="1" customWidth="1"/>
    <col min="4" max="4" width="10.28515625" bestFit="1" customWidth="1"/>
    <col min="5" max="5" width="15.42578125" bestFit="1" customWidth="1"/>
    <col min="6" max="6" width="22.140625" bestFit="1" customWidth="1"/>
    <col min="7" max="7" width="3.42578125" customWidth="1"/>
    <col min="10" max="10" width="10.28515625" bestFit="1" customWidth="1"/>
    <col min="13" max="13" width="10.5703125" bestFit="1" customWidth="1"/>
  </cols>
  <sheetData>
    <row r="1" spans="1:7" ht="15.75" thickBot="1" x14ac:dyDescent="0.3"/>
    <row r="2" spans="1:7" ht="18.75" thickBot="1" x14ac:dyDescent="0.3">
      <c r="A2" s="270"/>
      <c r="B2" s="325" t="s">
        <v>179</v>
      </c>
      <c r="C2" s="326"/>
      <c r="D2" s="326"/>
      <c r="E2" s="326"/>
      <c r="F2" s="327"/>
      <c r="G2" s="270"/>
    </row>
    <row r="3" spans="1:7" ht="15.75" thickBot="1" x14ac:dyDescent="0.3"/>
    <row r="4" spans="1:7" ht="18.75" thickBot="1" x14ac:dyDescent="0.3">
      <c r="B4" s="328" t="s">
        <v>65</v>
      </c>
      <c r="C4" s="329"/>
      <c r="D4" s="329"/>
      <c r="E4" s="329"/>
      <c r="F4" s="330"/>
    </row>
    <row r="5" spans="1:7" ht="18" thickBot="1" x14ac:dyDescent="0.35">
      <c r="B5" s="331" t="s">
        <v>180</v>
      </c>
      <c r="C5" s="332"/>
      <c r="D5" s="332"/>
      <c r="E5" s="333"/>
      <c r="F5" s="271" t="s">
        <v>87</v>
      </c>
    </row>
    <row r="6" spans="1:7" ht="17.25" x14ac:dyDescent="0.3">
      <c r="B6" s="88"/>
      <c r="C6" s="1"/>
      <c r="D6" s="60"/>
      <c r="E6" s="3"/>
      <c r="F6" s="272">
        <f>' Fees (MS)'!H69</f>
        <v>2000000</v>
      </c>
    </row>
    <row r="7" spans="1:7" ht="18" thickBot="1" x14ac:dyDescent="0.35">
      <c r="B7" s="89"/>
      <c r="C7" s="119"/>
      <c r="D7" s="273"/>
      <c r="E7" s="125"/>
      <c r="F7" s="274"/>
    </row>
    <row r="8" spans="1:7" ht="18" thickBot="1" x14ac:dyDescent="0.35">
      <c r="B8" s="1"/>
      <c r="C8" s="310" t="s">
        <v>181</v>
      </c>
      <c r="D8" s="311"/>
      <c r="E8" s="312"/>
      <c r="F8" s="97">
        <f>SUM(F6:F7)</f>
        <v>2000000</v>
      </c>
    </row>
    <row r="9" spans="1:7" ht="18" thickBot="1" x14ac:dyDescent="0.35">
      <c r="B9" s="1"/>
      <c r="C9" s="1"/>
    </row>
    <row r="10" spans="1:7" ht="18.75" thickBot="1" x14ac:dyDescent="0.3">
      <c r="B10" s="205" t="s">
        <v>35</v>
      </c>
      <c r="C10" s="200"/>
      <c r="D10" s="200"/>
      <c r="E10" s="275"/>
      <c r="F10" s="276">
        <f>F8</f>
        <v>2000000</v>
      </c>
    </row>
    <row r="11" spans="1:7" ht="18.75" x14ac:dyDescent="0.3">
      <c r="B11" s="302" t="s">
        <v>84</v>
      </c>
      <c r="C11" s="308" t="s">
        <v>118</v>
      </c>
      <c r="D11" s="308"/>
      <c r="E11" s="308"/>
      <c r="F11" s="309"/>
    </row>
    <row r="12" spans="1:7" ht="15.75" thickBot="1" x14ac:dyDescent="0.3"/>
    <row r="13" spans="1:7" ht="20.25" thickBot="1" x14ac:dyDescent="0.3">
      <c r="B13" s="334" t="s">
        <v>44</v>
      </c>
      <c r="C13" s="335"/>
      <c r="D13" s="335"/>
      <c r="E13" s="59"/>
      <c r="F13" s="129"/>
    </row>
    <row r="14" spans="1:7" ht="17.25" x14ac:dyDescent="0.25">
      <c r="B14" s="277" t="s">
        <v>21</v>
      </c>
      <c r="C14" s="278"/>
      <c r="D14" s="92"/>
      <c r="E14" s="279"/>
      <c r="F14" s="280">
        <f>' Fees (MS)'!E76</f>
        <v>89897.22</v>
      </c>
    </row>
    <row r="15" spans="1:7" ht="18" thickBot="1" x14ac:dyDescent="0.3">
      <c r="B15" s="281" t="s">
        <v>49</v>
      </c>
      <c r="C15" s="282"/>
      <c r="D15" s="119"/>
      <c r="E15" s="283"/>
      <c r="F15" s="284">
        <f>' Fees (MS)'!E77</f>
        <v>156329.8842</v>
      </c>
    </row>
    <row r="16" spans="1:7" ht="18.75" thickBot="1" x14ac:dyDescent="0.3">
      <c r="C16" s="310" t="s">
        <v>182</v>
      </c>
      <c r="D16" s="311"/>
      <c r="E16" s="312"/>
      <c r="F16" s="298">
        <f>F14+F15</f>
        <v>246227.1042</v>
      </c>
    </row>
    <row r="17" spans="2:13" ht="19.5" thickBot="1" x14ac:dyDescent="0.35">
      <c r="B17" s="285" t="s">
        <v>183</v>
      </c>
      <c r="C17" s="299" t="s">
        <v>184</v>
      </c>
      <c r="D17" s="300" t="s">
        <v>37</v>
      </c>
      <c r="E17" s="301" t="s">
        <v>117</v>
      </c>
      <c r="F17" s="112" t="s">
        <v>116</v>
      </c>
    </row>
    <row r="18" spans="2:13" ht="17.25" x14ac:dyDescent="0.3">
      <c r="B18" s="84" t="s">
        <v>123</v>
      </c>
      <c r="C18" s="124">
        <v>1</v>
      </c>
      <c r="D18" s="109">
        <v>0.02</v>
      </c>
      <c r="E18" s="250">
        <f>D18*$F$16</f>
        <v>4924.5420839999997</v>
      </c>
      <c r="F18" s="286">
        <v>0</v>
      </c>
    </row>
    <row r="19" spans="2:13" ht="17.25" x14ac:dyDescent="0.3">
      <c r="B19" s="88" t="s">
        <v>122</v>
      </c>
      <c r="C19" s="3">
        <v>2</v>
      </c>
      <c r="D19" s="212">
        <v>0.15</v>
      </c>
      <c r="E19" s="215">
        <f t="shared" ref="E19:E24" si="0">D19*$F$16</f>
        <v>36934.065629999997</v>
      </c>
      <c r="F19" s="287">
        <v>0</v>
      </c>
    </row>
    <row r="20" spans="2:13" ht="17.25" x14ac:dyDescent="0.3">
      <c r="B20" s="88" t="s">
        <v>121</v>
      </c>
      <c r="C20" s="3">
        <v>3</v>
      </c>
      <c r="D20" s="212">
        <v>0.2</v>
      </c>
      <c r="E20" s="215">
        <f t="shared" si="0"/>
        <v>49245.420840000006</v>
      </c>
      <c r="F20" s="287">
        <v>0</v>
      </c>
    </row>
    <row r="21" spans="2:13" ht="17.25" x14ac:dyDescent="0.3">
      <c r="B21" s="88" t="s">
        <v>45</v>
      </c>
      <c r="C21" s="3" t="s">
        <v>185</v>
      </c>
      <c r="D21" s="212">
        <v>0.1</v>
      </c>
      <c r="E21" s="215">
        <f t="shared" si="0"/>
        <v>24622.710420000003</v>
      </c>
      <c r="F21" s="287">
        <v>0</v>
      </c>
    </row>
    <row r="22" spans="2:13" ht="17.25" x14ac:dyDescent="0.3">
      <c r="B22" s="88" t="s">
        <v>57</v>
      </c>
      <c r="C22" s="3" t="s">
        <v>186</v>
      </c>
      <c r="D22" s="212">
        <v>0.2</v>
      </c>
      <c r="E22" s="215">
        <f t="shared" si="0"/>
        <v>49245.420840000006</v>
      </c>
      <c r="F22" s="287">
        <v>0</v>
      </c>
    </row>
    <row r="23" spans="2:13" ht="17.25" x14ac:dyDescent="0.3">
      <c r="B23" s="88" t="s">
        <v>50</v>
      </c>
      <c r="C23" s="3">
        <v>5</v>
      </c>
      <c r="D23" s="212">
        <v>0.3</v>
      </c>
      <c r="E23" s="215">
        <f t="shared" si="0"/>
        <v>73868.131259999995</v>
      </c>
      <c r="F23" s="287">
        <f>E23</f>
        <v>73868.131259999995</v>
      </c>
      <c r="J23" s="93">
        <f>F16*(SUM(D23:D24))</f>
        <v>81254.944385999988</v>
      </c>
    </row>
    <row r="24" spans="2:13" ht="18" thickBot="1" x14ac:dyDescent="0.35">
      <c r="B24" s="89" t="s">
        <v>120</v>
      </c>
      <c r="C24" s="125">
        <v>6</v>
      </c>
      <c r="D24" s="111">
        <v>0.03</v>
      </c>
      <c r="E24" s="288">
        <f t="shared" si="0"/>
        <v>7386.813126</v>
      </c>
      <c r="F24" s="258">
        <f>E24</f>
        <v>7386.813126</v>
      </c>
    </row>
    <row r="25" spans="2:13" ht="19.5" thickBot="1" x14ac:dyDescent="0.35">
      <c r="B25" s="1"/>
      <c r="C25" s="310" t="s">
        <v>187</v>
      </c>
      <c r="D25" s="311"/>
      <c r="E25" s="312"/>
      <c r="F25" s="289">
        <f>SUM(F18:F24)</f>
        <v>81254.944385999988</v>
      </c>
    </row>
    <row r="26" spans="2:13" ht="15.75" thickBot="1" x14ac:dyDescent="0.3"/>
    <row r="27" spans="2:13" ht="18.75" thickBot="1" x14ac:dyDescent="0.3">
      <c r="B27" s="313" t="s">
        <v>188</v>
      </c>
      <c r="C27" s="314"/>
      <c r="D27" s="314"/>
      <c r="E27" s="315"/>
      <c r="F27" s="290">
        <v>4</v>
      </c>
    </row>
    <row r="28" spans="2:13" ht="18" thickBot="1" x14ac:dyDescent="0.35">
      <c r="B28" s="316" t="s">
        <v>189</v>
      </c>
      <c r="C28" s="317"/>
      <c r="D28" s="317"/>
      <c r="E28" s="306"/>
      <c r="F28" s="307">
        <f>F25</f>
        <v>81254.944385999988</v>
      </c>
    </row>
    <row r="29" spans="2:13" ht="16.5" thickBot="1" x14ac:dyDescent="0.3">
      <c r="B29" s="303" t="s">
        <v>3</v>
      </c>
      <c r="C29" s="304"/>
      <c r="D29" s="304"/>
      <c r="E29" s="305"/>
      <c r="F29" s="292">
        <f>SUM(F28)</f>
        <v>81254.944385999988</v>
      </c>
    </row>
    <row r="30" spans="2:13" ht="15.75" thickBot="1" x14ac:dyDescent="0.3"/>
    <row r="31" spans="2:13" ht="18.75" thickBot="1" x14ac:dyDescent="0.3">
      <c r="B31" s="318" t="s">
        <v>190</v>
      </c>
      <c r="C31" s="319"/>
      <c r="D31" s="319"/>
      <c r="E31" s="319"/>
      <c r="F31" s="320"/>
      <c r="K31" t="s">
        <v>198</v>
      </c>
    </row>
    <row r="32" spans="2:13" ht="17.25" x14ac:dyDescent="0.3">
      <c r="B32" s="321" t="s">
        <v>191</v>
      </c>
      <c r="C32" s="322"/>
      <c r="D32" s="322"/>
      <c r="E32" s="92"/>
      <c r="F32" s="323">
        <f>F29/F27</f>
        <v>20313.736096499997</v>
      </c>
      <c r="K32">
        <v>6.5</v>
      </c>
      <c r="L32">
        <f>100*2</f>
        <v>200</v>
      </c>
      <c r="M32">
        <f>L32*K32</f>
        <v>1300</v>
      </c>
    </row>
    <row r="33" spans="2:18" ht="15.75" thickBot="1" x14ac:dyDescent="0.3">
      <c r="B33" s="293" t="s">
        <v>192</v>
      </c>
      <c r="C33" s="119"/>
      <c r="D33" s="119"/>
      <c r="E33" s="119"/>
      <c r="F33" s="324"/>
      <c r="K33" t="s">
        <v>200</v>
      </c>
    </row>
    <row r="34" spans="2:18" ht="18" thickBot="1" x14ac:dyDescent="0.35">
      <c r="B34" s="294" t="s">
        <v>193</v>
      </c>
      <c r="C34" s="94"/>
      <c r="D34" s="94"/>
      <c r="E34" s="94"/>
      <c r="F34" s="295"/>
      <c r="K34">
        <v>4</v>
      </c>
      <c r="L34">
        <v>650</v>
      </c>
      <c r="M34">
        <f>K34*L34</f>
        <v>2600</v>
      </c>
      <c r="O34">
        <f>M34*2</f>
        <v>5200</v>
      </c>
      <c r="P34">
        <f>O34*3</f>
        <v>15600</v>
      </c>
      <c r="Q34">
        <f>M34*4</f>
        <v>10400</v>
      </c>
      <c r="R34">
        <f>SUM(P34+Q34)</f>
        <v>26000</v>
      </c>
    </row>
    <row r="35" spans="2:18" ht="17.25" x14ac:dyDescent="0.3">
      <c r="B35" s="84" t="s">
        <v>194</v>
      </c>
      <c r="C35" s="92"/>
      <c r="D35" s="92"/>
      <c r="E35" s="92"/>
      <c r="F35" s="291">
        <f>M32*4</f>
        <v>5200</v>
      </c>
      <c r="K35" t="s">
        <v>201</v>
      </c>
    </row>
    <row r="36" spans="2:18" ht="17.25" x14ac:dyDescent="0.3">
      <c r="B36" s="88" t="s">
        <v>195</v>
      </c>
      <c r="F36" s="296">
        <f>R34/F27</f>
        <v>6500</v>
      </c>
      <c r="M36" s="159">
        <v>1500</v>
      </c>
    </row>
    <row r="37" spans="2:18" ht="18" thickBot="1" x14ac:dyDescent="0.35">
      <c r="B37" s="89" t="s">
        <v>196</v>
      </c>
      <c r="C37" s="119"/>
      <c r="D37" s="119"/>
      <c r="E37" s="119"/>
      <c r="F37" s="297">
        <f>ROUNDUP((M38*F27)+(M36/F27),-2)</f>
        <v>4300</v>
      </c>
      <c r="K37" t="s">
        <v>199</v>
      </c>
    </row>
    <row r="38" spans="2:18" ht="18.75" thickBot="1" x14ac:dyDescent="0.3">
      <c r="C38" s="310" t="s">
        <v>197</v>
      </c>
      <c r="D38" s="311"/>
      <c r="E38" s="312"/>
      <c r="F38" s="289">
        <f>SUM(F32:F37)</f>
        <v>36313.736096499997</v>
      </c>
      <c r="K38">
        <v>160</v>
      </c>
      <c r="L38">
        <v>3</v>
      </c>
      <c r="M38" s="159">
        <f>2*(K38*L38)</f>
        <v>960</v>
      </c>
    </row>
  </sheetData>
  <mergeCells count="14">
    <mergeCell ref="B2:F2"/>
    <mergeCell ref="B4:F4"/>
    <mergeCell ref="B5:E5"/>
    <mergeCell ref="B13:D13"/>
    <mergeCell ref="C8:E8"/>
    <mergeCell ref="C11:F11"/>
    <mergeCell ref="C16:E16"/>
    <mergeCell ref="C38:E38"/>
    <mergeCell ref="C25:E25"/>
    <mergeCell ref="B27:E27"/>
    <mergeCell ref="B28:D28"/>
    <mergeCell ref="B31:F31"/>
    <mergeCell ref="B32:D32"/>
    <mergeCell ref="F32:F33"/>
  </mergeCells>
  <dataValidations disablePrompts="1" count="1">
    <dataValidation type="list" allowBlank="1" showInputMessage="1" showErrorMessage="1" sqref="C11" xr:uid="{A78FAA53-BF1A-4E62-BA35-A19AFDE0339A}">
      <formula1>"Low,Medium,High"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9" zoomScale="85" zoomScaleNormal="85" workbookViewId="0">
      <selection activeCell="E59" sqref="E58:E5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814</v>
      </c>
      <c r="G5" s="5">
        <f>F5*G3</f>
        <v>7326</v>
      </c>
      <c r="H5" s="82">
        <f>G5+E5</f>
        <v>11099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89" t="s">
        <v>44</v>
      </c>
      <c r="C13" s="390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87" t="s">
        <v>53</v>
      </c>
      <c r="O14" s="388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91" t="s">
        <v>18</v>
      </c>
      <c r="C24" s="391"/>
      <c r="D24" s="391"/>
      <c r="E24" s="391"/>
      <c r="F24" s="391"/>
      <c r="G24" s="391"/>
    </row>
    <row r="25" spans="2:12" x14ac:dyDescent="0.3">
      <c r="B25" s="392" t="s">
        <v>19</v>
      </c>
      <c r="C25" s="392" t="s">
        <v>20</v>
      </c>
      <c r="D25" s="392"/>
      <c r="E25" s="392" t="s">
        <v>21</v>
      </c>
      <c r="F25" s="392" t="s">
        <v>22</v>
      </c>
      <c r="G25" s="392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92"/>
      <c r="C26" s="10"/>
      <c r="D26" s="10"/>
      <c r="E26" s="392"/>
      <c r="F26" s="10"/>
      <c r="G26" s="10"/>
      <c r="J26" s="77" t="s">
        <v>89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92"/>
      <c r="C27" s="10" t="s">
        <v>23</v>
      </c>
      <c r="D27" s="10" t="s">
        <v>24</v>
      </c>
      <c r="E27" s="392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249599.84400000001</v>
      </c>
    </row>
    <row r="28" spans="2:12" x14ac:dyDescent="0.3">
      <c r="B28" s="392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85" t="s">
        <v>22</v>
      </c>
      <c r="G44" s="386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264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264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264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264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 Fees (MS)</vt:lpstr>
      <vt:lpstr>Project Management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2026-07-06T17:41:59Z</dcterms:modified>
</cp:coreProperties>
</file>