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6\x008 - Daniel (Possible sites)\1171_Walmer\"/>
    </mc:Choice>
  </mc:AlternateContent>
  <xr:revisionPtr revIDLastSave="0" documentId="13_ncr:1_{DD906DA3-E1FD-48C1-94CF-731CEC1B8DFE}" xr6:coauthVersionLast="47" xr6:coauthVersionMax="47" xr10:uidLastSave="{00000000-0000-0000-0000-000000000000}"/>
  <bookViews>
    <workbookView xWindow="-120" yWindow="-120" windowWidth="29040" windowHeight="15720" activeTab="1" xr2:uid="{17838A8F-6213-4D15-B626-2AD819BF63B3}"/>
  </bookViews>
  <sheets>
    <sheet name="Erf 1171_Walmer" sheetId="1" r:id="rId1"/>
    <sheet name="Forecast" sheetId="4" r:id="rId2"/>
    <sheet name="TDL_Sewer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4" l="1"/>
  <c r="B8" i="4" s="1"/>
  <c r="C8" i="4" s="1"/>
  <c r="C2" i="4"/>
  <c r="C5" i="4" s="1"/>
  <c r="B9" i="4" l="1"/>
  <c r="B10" i="4" s="1"/>
  <c r="B11" i="4" s="1"/>
  <c r="B12" i="4" s="1"/>
  <c r="B13" i="4" s="1"/>
  <c r="B14" i="4" s="1"/>
  <c r="B15" i="4" s="1"/>
  <c r="C9" i="4" l="1"/>
  <c r="C10" i="4" s="1"/>
  <c r="C11" i="4" s="1"/>
  <c r="C12" i="4" l="1"/>
  <c r="C13" i="4" l="1"/>
  <c r="C14" i="4" l="1"/>
  <c r="C15" i="4" l="1"/>
  <c r="D28" i="1" l="1"/>
  <c r="F28" i="1"/>
  <c r="F22" i="1"/>
  <c r="F20" i="1"/>
  <c r="F25" i="1" s="1"/>
  <c r="D26" i="3"/>
  <c r="E4" i="3" l="1"/>
  <c r="C16" i="3" s="1"/>
  <c r="D17" i="3" s="1"/>
  <c r="D18" i="3" s="1"/>
  <c r="D19" i="3" s="1"/>
  <c r="D20" i="3" s="1"/>
  <c r="D21" i="3" s="1"/>
  <c r="D22" i="3" s="1"/>
  <c r="D4" i="3"/>
  <c r="C7" i="3" s="1"/>
  <c r="D8" i="3" s="1"/>
  <c r="D9" i="3" s="1"/>
  <c r="D10" i="3" s="1"/>
  <c r="D11" i="3" s="1"/>
  <c r="D12" i="3" s="1"/>
  <c r="D13" i="3" s="1"/>
  <c r="F3" i="1"/>
  <c r="K7" i="1"/>
  <c r="I5" i="1"/>
  <c r="K5" i="1" s="1"/>
  <c r="I4" i="1"/>
  <c r="K4" i="1" s="1"/>
  <c r="I6" i="1"/>
  <c r="K6" i="1" s="1"/>
  <c r="I3" i="1"/>
  <c r="K3" i="1" s="1"/>
  <c r="F7" i="1"/>
  <c r="F6" i="1"/>
  <c r="F44" i="1" l="1"/>
  <c r="F9" i="1"/>
  <c r="F12" i="1" l="1"/>
  <c r="F11" i="1"/>
  <c r="F23" i="1"/>
  <c r="F14" i="1" l="1"/>
  <c r="F24" i="1" s="1"/>
  <c r="F26" i="1" s="1"/>
  <c r="F31" i="1" s="1"/>
  <c r="F37" i="1" s="1"/>
  <c r="F38" i="1" s="1"/>
  <c r="F40" i="1" s="1"/>
  <c r="F42" i="1" s="1"/>
</calcChain>
</file>

<file path=xl/sharedStrings.xml><?xml version="1.0" encoding="utf-8"?>
<sst xmlns="http://schemas.openxmlformats.org/spreadsheetml/2006/main" count="80" uniqueCount="58">
  <si>
    <t>R per sqm</t>
  </si>
  <si>
    <t>Erf size (sqm):</t>
  </si>
  <si>
    <t>Purchase price:</t>
  </si>
  <si>
    <t>Total building (sqm):</t>
  </si>
  <si>
    <t>Building rate:</t>
  </si>
  <si>
    <t>Build cost:</t>
  </si>
  <si>
    <t>Ex. VAT</t>
  </si>
  <si>
    <t>Rate per sqm:</t>
  </si>
  <si>
    <t>Required income</t>
  </si>
  <si>
    <t>Operation costs:</t>
  </si>
  <si>
    <t xml:space="preserve"> - Rates, insurance, vacancies, maintenance</t>
  </si>
  <si>
    <t>Required gross rental income</t>
  </si>
  <si>
    <t>Gross Rent (per year):</t>
  </si>
  <si>
    <t>Monthly Rental</t>
  </si>
  <si>
    <t>Rate per sqm</t>
  </si>
  <si>
    <t>sqm</t>
  </si>
  <si>
    <t>Rent</t>
  </si>
  <si>
    <t>Link</t>
  </si>
  <si>
    <t>https://www.property24.com/to-rent/walmer/gqeberha/eastern-cape/8341/116866058</t>
  </si>
  <si>
    <t>https://www.property24.com/to-rent/walmer/gqeberha/eastern-cape/8341/116873231</t>
  </si>
  <si>
    <t>https://www.property24.com/to-rent/walmer/gqeberha/eastern-cape/8341/116804011</t>
  </si>
  <si>
    <t>Bloomingdales (+R23 operation + R12 Genie)</t>
  </si>
  <si>
    <t>William moffet (+R35 operation + R450/bay)</t>
  </si>
  <si>
    <t>https://www.property24.com/to-rent/walmer/gqeberha/eastern-cape/8341/116871395</t>
  </si>
  <si>
    <t>Elvee (Main Rd, Walmer)</t>
  </si>
  <si>
    <t>Bloomingdales (+R23 operation + R6 Genie)</t>
  </si>
  <si>
    <t>Precedent rate calculations:</t>
  </si>
  <si>
    <t>Precedent Rates</t>
  </si>
  <si>
    <t>Target yield/Profit (per year)</t>
  </si>
  <si>
    <t>TDL</t>
  </si>
  <si>
    <t>Drainage Levi</t>
  </si>
  <si>
    <t>Rate</t>
  </si>
  <si>
    <t>Area (sqm)</t>
  </si>
  <si>
    <t>Year</t>
  </si>
  <si>
    <t>Municipal Fees</t>
  </si>
  <si>
    <t>GLA</t>
  </si>
  <si>
    <t>Precedent fees (of similar buildings in Walmer):</t>
  </si>
  <si>
    <t>Architectural fees (Design, SDP, Municipal, etc)</t>
  </si>
  <si>
    <t>Structural engineering</t>
  </si>
  <si>
    <t>Surveyor fees (Consolidation, Survey, etc)</t>
  </si>
  <si>
    <t>Professional Fees:</t>
  </si>
  <si>
    <t xml:space="preserve">Site development submission fees </t>
  </si>
  <si>
    <t>+-</t>
  </si>
  <si>
    <t xml:space="preserve">Transportation and development levi </t>
  </si>
  <si>
    <t xml:space="preserve">Sewer development levi </t>
  </si>
  <si>
    <t xml:space="preserve">Municipal submission fees </t>
  </si>
  <si>
    <t>Submission related fees:</t>
  </si>
  <si>
    <t>Build Duration:</t>
  </si>
  <si>
    <t>6 Months</t>
  </si>
  <si>
    <t>Total investment</t>
  </si>
  <si>
    <t>Development cost per M2</t>
  </si>
  <si>
    <t>m2</t>
  </si>
  <si>
    <t>Annual Rent</t>
  </si>
  <si>
    <t>Cumulative Income</t>
  </si>
  <si>
    <t>Total Investment:</t>
  </si>
  <si>
    <t>Year 1 Gross Rent:</t>
  </si>
  <si>
    <t>Forecast (escalation):</t>
  </si>
  <si>
    <t>Break-even (Year/Months):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</si>
</sst>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0" fillId="0" borderId="0" xfId="0" quotePrefix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44" fontId="0" fillId="0" borderId="0" xfId="0" applyNumberFormat="1"/>
    <xf numFmtId="44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44" fontId="4" fillId="0" borderId="6" xfId="0" applyNumberFormat="1" applyFont="1" applyBorder="1"/>
    <xf numFmtId="0" fontId="0" fillId="0" borderId="7" xfId="0" applyBorder="1"/>
    <xf numFmtId="44" fontId="0" fillId="0" borderId="6" xfId="0" applyNumberFormat="1" applyBorder="1"/>
    <xf numFmtId="0" fontId="0" fillId="0" borderId="3" xfId="0" applyBorder="1" applyAlignment="1">
      <alignment horizontal="center"/>
    </xf>
    <xf numFmtId="9" fontId="1" fillId="0" borderId="9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5" fillId="0" borderId="0" xfId="4"/>
    <xf numFmtId="9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2" fillId="2" borderId="9" xfId="2" applyNumberFormat="1" applyBorder="1"/>
    <xf numFmtId="0" fontId="3" fillId="3" borderId="7" xfId="3" applyBorder="1"/>
    <xf numFmtId="0" fontId="3" fillId="3" borderId="8" xfId="3" applyBorder="1"/>
    <xf numFmtId="0" fontId="3" fillId="3" borderId="8" xfId="3" applyBorder="1" applyAlignment="1">
      <alignment horizontal="center"/>
    </xf>
    <xf numFmtId="44" fontId="3" fillId="3" borderId="9" xfId="3" applyNumberFormat="1" applyBorder="1"/>
    <xf numFmtId="0" fontId="2" fillId="2" borderId="7" xfId="2" applyBorder="1"/>
    <xf numFmtId="0" fontId="2" fillId="2" borderId="8" xfId="2" applyBorder="1"/>
    <xf numFmtId="0" fontId="2" fillId="2" borderId="8" xfId="2" applyBorder="1" applyAlignment="1">
      <alignment horizontal="center"/>
    </xf>
    <xf numFmtId="44" fontId="0" fillId="0" borderId="11" xfId="0" applyNumberFormat="1" applyBorder="1"/>
    <xf numFmtId="44" fontId="4" fillId="4" borderId="9" xfId="0" applyNumberFormat="1" applyFont="1" applyFill="1" applyBorder="1"/>
    <xf numFmtId="0" fontId="4" fillId="5" borderId="0" xfId="0" applyFont="1" applyFill="1"/>
    <xf numFmtId="0" fontId="4" fillId="4" borderId="0" xfId="0" applyFont="1" applyFill="1"/>
    <xf numFmtId="44" fontId="0" fillId="0" borderId="3" xfId="0" applyNumberFormat="1" applyBorder="1"/>
    <xf numFmtId="9" fontId="0" fillId="0" borderId="2" xfId="1" applyFont="1" applyBorder="1"/>
    <xf numFmtId="9" fontId="0" fillId="0" borderId="5" xfId="1" applyFont="1" applyBorder="1"/>
    <xf numFmtId="0" fontId="4" fillId="4" borderId="7" xfId="0" applyFont="1" applyFill="1" applyBorder="1"/>
    <xf numFmtId="0" fontId="4" fillId="4" borderId="8" xfId="0" applyFont="1" applyFill="1" applyBorder="1"/>
    <xf numFmtId="9" fontId="4" fillId="4" borderId="8" xfId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7" xfId="0" quotePrefix="1" applyFont="1" applyFill="1" applyBorder="1"/>
    <xf numFmtId="9" fontId="4" fillId="4" borderId="9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9" fontId="0" fillId="0" borderId="0" xfId="1" applyFont="1" applyBorder="1"/>
    <xf numFmtId="9" fontId="0" fillId="0" borderId="2" xfId="1" quotePrefix="1" applyFont="1" applyBorder="1" applyAlignment="1">
      <alignment horizontal="right"/>
    </xf>
    <xf numFmtId="9" fontId="0" fillId="0" borderId="0" xfId="1" quotePrefix="1" applyFont="1" applyBorder="1" applyAlignment="1">
      <alignment horizontal="right"/>
    </xf>
    <xf numFmtId="9" fontId="0" fillId="0" borderId="5" xfId="1" quotePrefix="1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0" fillId="0" borderId="10" xfId="0" applyBorder="1"/>
    <xf numFmtId="0" fontId="0" fillId="0" borderId="2" xfId="0" applyBorder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5" xfId="0" applyBorder="1" applyAlignment="1">
      <alignment horizontal="left" vertical="center" indent="5"/>
    </xf>
    <xf numFmtId="44" fontId="4" fillId="0" borderId="9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44" fontId="4" fillId="4" borderId="6" xfId="0" applyNumberFormat="1" applyFont="1" applyFill="1" applyBorder="1"/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2" fontId="0" fillId="0" borderId="0" xfId="0" applyNumberFormat="1"/>
    <xf numFmtId="0" fontId="4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/>
    </xf>
    <xf numFmtId="164" fontId="0" fillId="0" borderId="0" xfId="0" applyNumberFormat="1" applyFont="1"/>
  </cellXfs>
  <cellStyles count="5">
    <cellStyle name="Bad" xfId="3" builtinId="27"/>
    <cellStyle name="Good" xfId="2" builtinId="26"/>
    <cellStyle name="Hyperlink" xfId="4" builtinId="8"/>
    <cellStyle name="Normal" xfId="0" builtinId="0"/>
    <cellStyle name="Percent" xfId="1" builtinId="5"/>
  </cellStyles>
  <dxfs count="5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walmer/gqeberha/eastern-cape/8341/116804011" TargetMode="External"/><Relationship Id="rId2" Type="http://schemas.openxmlformats.org/officeDocument/2006/relationships/hyperlink" Target="https://www.property24.com/to-rent/walmer/gqeberha/eastern-cape/8341/116873231" TargetMode="External"/><Relationship Id="rId1" Type="http://schemas.openxmlformats.org/officeDocument/2006/relationships/hyperlink" Target="https://www.property24.com/to-rent/walmer/gqeberha/eastern-cape/8341/11686605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roperty24.com/to-rent/walmer/gqeberha/eastern-cape/8341/116866058" TargetMode="External"/><Relationship Id="rId4" Type="http://schemas.openxmlformats.org/officeDocument/2006/relationships/hyperlink" Target="https://www.property24.com/to-rent/walmer/gqeberha/eastern-cape/8341/116871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E512-4C47-4BF2-BB5E-07F96E1B01D4}">
  <dimension ref="B1:M57"/>
  <sheetViews>
    <sheetView topLeftCell="A16" workbookViewId="0">
      <selection activeCell="H38" sqref="H38"/>
    </sheetView>
  </sheetViews>
  <sheetFormatPr defaultRowHeight="15" x14ac:dyDescent="0.25"/>
  <cols>
    <col min="1" max="1" width="2.7109375" customWidth="1"/>
    <col min="2" max="2" width="10" customWidth="1"/>
    <col min="3" max="3" width="19.42578125" customWidth="1"/>
    <col min="4" max="4" width="14.140625" customWidth="1"/>
    <col min="5" max="5" width="5.7109375" customWidth="1"/>
    <col min="6" max="6" width="15.140625" bestFit="1" customWidth="1"/>
    <col min="7" max="7" width="3.140625" customWidth="1"/>
    <col min="8" max="8" width="44.7109375" customWidth="1"/>
    <col min="9" max="9" width="16" customWidth="1"/>
    <col min="11" max="11" width="17.5703125" customWidth="1"/>
    <col min="12" max="12" width="77.85546875" bestFit="1" customWidth="1"/>
    <col min="13" max="13" width="10.5703125" customWidth="1"/>
  </cols>
  <sheetData>
    <row r="1" spans="2:13" x14ac:dyDescent="0.25">
      <c r="F1" s="8"/>
    </row>
    <row r="2" spans="2:13" x14ac:dyDescent="0.25">
      <c r="B2" s="3" t="s">
        <v>1</v>
      </c>
      <c r="C2" s="4"/>
      <c r="D2" s="4"/>
      <c r="E2" s="4"/>
      <c r="F2" s="15">
        <v>1554</v>
      </c>
      <c r="H2" s="18" t="s">
        <v>26</v>
      </c>
      <c r="I2" s="19" t="s">
        <v>16</v>
      </c>
      <c r="J2" s="18" t="s">
        <v>15</v>
      </c>
      <c r="K2" s="20" t="s">
        <v>0</v>
      </c>
      <c r="L2" s="18" t="s">
        <v>17</v>
      </c>
    </row>
    <row r="3" spans="2:13" x14ac:dyDescent="0.25">
      <c r="B3" s="5" t="s">
        <v>7</v>
      </c>
      <c r="C3" s="6"/>
      <c r="D3" s="6"/>
      <c r="E3" s="6"/>
      <c r="F3" s="14">
        <f>F4/F2</f>
        <v>2027.0270270270271</v>
      </c>
      <c r="H3" t="s">
        <v>24</v>
      </c>
      <c r="I3" s="8">
        <f>16000</f>
        <v>16000</v>
      </c>
      <c r="J3">
        <v>64</v>
      </c>
      <c r="K3" s="9">
        <f>I3/J3</f>
        <v>250</v>
      </c>
      <c r="L3" s="21" t="s">
        <v>18</v>
      </c>
    </row>
    <row r="4" spans="2:13" x14ac:dyDescent="0.25">
      <c r="B4" s="42" t="s">
        <v>2</v>
      </c>
      <c r="C4" s="43"/>
      <c r="D4" s="60" t="s">
        <v>6</v>
      </c>
      <c r="E4" s="43"/>
      <c r="F4" s="61">
        <v>3150000</v>
      </c>
      <c r="H4" t="s">
        <v>21</v>
      </c>
      <c r="I4" s="8">
        <f>(140*J4)+(12+J4)+(23+J4)</f>
        <v>19915</v>
      </c>
      <c r="J4">
        <v>140</v>
      </c>
      <c r="K4" s="9">
        <f>I4/J4</f>
        <v>142.25</v>
      </c>
      <c r="L4" s="21" t="s">
        <v>19</v>
      </c>
      <c r="M4" s="1"/>
    </row>
    <row r="5" spans="2:13" x14ac:dyDescent="0.25">
      <c r="B5" s="1"/>
      <c r="C5" s="1"/>
      <c r="D5" s="1"/>
      <c r="E5" s="1"/>
      <c r="F5" s="8"/>
      <c r="H5" t="s">
        <v>22</v>
      </c>
      <c r="I5" s="8">
        <f>(135*J5)+(35*J5)</f>
        <v>47600</v>
      </c>
      <c r="J5">
        <v>280</v>
      </c>
      <c r="K5" s="9">
        <f>I5/J5</f>
        <v>170</v>
      </c>
      <c r="L5" s="21" t="s">
        <v>20</v>
      </c>
    </row>
    <row r="6" spans="2:13" x14ac:dyDescent="0.25">
      <c r="B6" s="3" t="s">
        <v>3</v>
      </c>
      <c r="C6" s="4"/>
      <c r="D6" s="4"/>
      <c r="E6" s="4"/>
      <c r="F6" s="15">
        <f>520+520</f>
        <v>1040</v>
      </c>
      <c r="H6" t="s">
        <v>25</v>
      </c>
      <c r="I6" s="8">
        <f>29610+(6*J6)+(23*J6)</f>
        <v>33264</v>
      </c>
      <c r="J6">
        <v>126</v>
      </c>
      <c r="K6" s="9">
        <f>I6/J6</f>
        <v>264</v>
      </c>
      <c r="L6" s="21" t="s">
        <v>23</v>
      </c>
      <c r="M6" s="1"/>
    </row>
    <row r="7" spans="2:13" x14ac:dyDescent="0.25">
      <c r="B7" s="5" t="s">
        <v>4</v>
      </c>
      <c r="C7" s="6"/>
      <c r="D7" s="23" t="s">
        <v>6</v>
      </c>
      <c r="E7" s="6"/>
      <c r="F7" s="14">
        <f>AVERAGE(17000,18000)/1.15</f>
        <v>15217.391304347828</v>
      </c>
      <c r="H7" t="s">
        <v>24</v>
      </c>
      <c r="I7" s="8">
        <v>6000</v>
      </c>
      <c r="J7">
        <v>35</v>
      </c>
      <c r="K7" s="9">
        <f>I7/J7</f>
        <v>171.42857142857142</v>
      </c>
      <c r="L7" s="21" t="s">
        <v>18</v>
      </c>
      <c r="M7" s="1"/>
    </row>
    <row r="8" spans="2:13" x14ac:dyDescent="0.25">
      <c r="B8" s="13" t="s">
        <v>47</v>
      </c>
      <c r="C8" s="7"/>
      <c r="D8" s="7"/>
      <c r="E8" s="7"/>
      <c r="F8" s="59" t="s">
        <v>48</v>
      </c>
      <c r="I8" s="8"/>
      <c r="K8" s="9"/>
      <c r="L8" s="21"/>
      <c r="M8" s="1"/>
    </row>
    <row r="9" spans="2:13" x14ac:dyDescent="0.25">
      <c r="B9" s="39" t="s">
        <v>5</v>
      </c>
      <c r="C9" s="40"/>
      <c r="D9" s="40"/>
      <c r="E9" s="40"/>
      <c r="F9" s="33">
        <f>F6*F7</f>
        <v>15826086.95652174</v>
      </c>
    </row>
    <row r="10" spans="2:13" x14ac:dyDescent="0.25">
      <c r="B10" s="1"/>
      <c r="C10" s="1"/>
      <c r="D10" s="1"/>
      <c r="E10" s="1"/>
      <c r="F10" s="9"/>
    </row>
    <row r="11" spans="2:13" x14ac:dyDescent="0.25">
      <c r="B11" s="3" t="s">
        <v>37</v>
      </c>
      <c r="C11" s="4"/>
      <c r="D11" s="4"/>
      <c r="E11" s="37">
        <v>0.05</v>
      </c>
      <c r="F11" s="36">
        <f>F9*E11</f>
        <v>791304.34782608703</v>
      </c>
    </row>
    <row r="12" spans="2:13" x14ac:dyDescent="0.25">
      <c r="B12" s="55" t="s">
        <v>38</v>
      </c>
      <c r="E12" s="47">
        <v>0.02</v>
      </c>
      <c r="F12" s="32">
        <f>F9*E12</f>
        <v>316521.73913043481</v>
      </c>
    </row>
    <row r="13" spans="2:13" x14ac:dyDescent="0.25">
      <c r="B13" s="5" t="s">
        <v>39</v>
      </c>
      <c r="C13" s="6"/>
      <c r="D13" s="6"/>
      <c r="E13" s="6"/>
      <c r="F13" s="14">
        <v>0</v>
      </c>
    </row>
    <row r="14" spans="2:13" x14ac:dyDescent="0.25">
      <c r="B14" s="39" t="s">
        <v>40</v>
      </c>
      <c r="C14" s="40"/>
      <c r="D14" s="40"/>
      <c r="E14" s="41"/>
      <c r="F14" s="33">
        <f>SUM(F11:F13)</f>
        <v>1107826.086956522</v>
      </c>
    </row>
    <row r="15" spans="2:13" x14ac:dyDescent="0.25">
      <c r="B15" s="1"/>
      <c r="C15" s="1"/>
      <c r="D15" s="1"/>
      <c r="E15" s="1"/>
      <c r="F15" s="9"/>
    </row>
    <row r="16" spans="2:13" x14ac:dyDescent="0.25">
      <c r="B16" s="51" t="s">
        <v>41</v>
      </c>
      <c r="C16" s="4"/>
      <c r="D16" s="56"/>
      <c r="E16" s="48" t="s">
        <v>42</v>
      </c>
      <c r="F16" s="36">
        <v>2500</v>
      </c>
    </row>
    <row r="17" spans="2:6" x14ac:dyDescent="0.25">
      <c r="B17" s="52" t="s">
        <v>43</v>
      </c>
      <c r="D17" s="57"/>
      <c r="E17" s="49" t="s">
        <v>42</v>
      </c>
      <c r="F17" s="32">
        <v>232000</v>
      </c>
    </row>
    <row r="18" spans="2:6" x14ac:dyDescent="0.25">
      <c r="B18" s="52" t="s">
        <v>44</v>
      </c>
      <c r="D18" s="57"/>
      <c r="E18" s="49" t="s">
        <v>42</v>
      </c>
      <c r="F18" s="32">
        <v>14500</v>
      </c>
    </row>
    <row r="19" spans="2:6" x14ac:dyDescent="0.25">
      <c r="B19" s="53" t="s">
        <v>45</v>
      </c>
      <c r="C19" s="6"/>
      <c r="D19" s="58"/>
      <c r="E19" s="50" t="s">
        <v>42</v>
      </c>
      <c r="F19" s="14">
        <v>66000</v>
      </c>
    </row>
    <row r="20" spans="2:6" x14ac:dyDescent="0.25">
      <c r="B20" s="54" t="s">
        <v>46</v>
      </c>
      <c r="C20" s="40"/>
      <c r="D20" s="40"/>
      <c r="E20" s="41"/>
      <c r="F20" s="33">
        <f>SUM(F16:F19)</f>
        <v>315000</v>
      </c>
    </row>
    <row r="21" spans="2:6" x14ac:dyDescent="0.25">
      <c r="B21" s="1"/>
      <c r="C21" s="1"/>
      <c r="D21" s="1"/>
      <c r="E21" s="1"/>
      <c r="F21" s="9"/>
    </row>
    <row r="22" spans="2:6" x14ac:dyDescent="0.25">
      <c r="B22" s="3" t="s">
        <v>2</v>
      </c>
      <c r="C22" s="4"/>
      <c r="D22" s="4"/>
      <c r="E22" s="37"/>
      <c r="F22" s="36">
        <f>F4</f>
        <v>3150000</v>
      </c>
    </row>
    <row r="23" spans="2:6" x14ac:dyDescent="0.25">
      <c r="B23" s="55" t="s">
        <v>5</v>
      </c>
      <c r="E23" s="47"/>
      <c r="F23" s="32">
        <f>F9</f>
        <v>15826086.95652174</v>
      </c>
    </row>
    <row r="24" spans="2:6" x14ac:dyDescent="0.25">
      <c r="B24" s="55" t="s">
        <v>40</v>
      </c>
      <c r="E24" s="47"/>
      <c r="F24" s="32">
        <f>F14</f>
        <v>1107826.086956522</v>
      </c>
    </row>
    <row r="25" spans="2:6" x14ac:dyDescent="0.25">
      <c r="B25" s="5" t="s">
        <v>46</v>
      </c>
      <c r="C25" s="6"/>
      <c r="D25" s="6"/>
      <c r="E25" s="38"/>
      <c r="F25" s="14">
        <f>F20</f>
        <v>315000</v>
      </c>
    </row>
    <row r="26" spans="2:6" x14ac:dyDescent="0.25">
      <c r="B26" s="39" t="s">
        <v>49</v>
      </c>
      <c r="C26" s="40"/>
      <c r="D26" s="40"/>
      <c r="E26" s="40"/>
      <c r="F26" s="33">
        <f>SUM(F22:F25)</f>
        <v>20398913.043478265</v>
      </c>
    </row>
    <row r="27" spans="2:6" x14ac:dyDescent="0.25">
      <c r="B27" s="1"/>
      <c r="C27" s="1"/>
      <c r="D27" s="1"/>
      <c r="E27" s="1"/>
      <c r="F27" s="9"/>
    </row>
    <row r="28" spans="2:6" x14ac:dyDescent="0.25">
      <c r="B28" s="39" t="s">
        <v>50</v>
      </c>
      <c r="C28" s="40"/>
      <c r="D28" s="40">
        <f>F6</f>
        <v>1040</v>
      </c>
      <c r="E28" s="40" t="s">
        <v>51</v>
      </c>
      <c r="F28" s="33">
        <f>F26/D28</f>
        <v>19614.339464882949</v>
      </c>
    </row>
    <row r="29" spans="2:6" x14ac:dyDescent="0.25">
      <c r="B29" s="1"/>
      <c r="C29" s="1"/>
      <c r="D29" s="1"/>
      <c r="E29" s="1"/>
      <c r="F29" s="9"/>
    </row>
    <row r="30" spans="2:6" x14ac:dyDescent="0.25">
      <c r="B30" s="3" t="s">
        <v>28</v>
      </c>
      <c r="C30" s="4"/>
      <c r="D30" s="4"/>
      <c r="E30" s="4"/>
      <c r="F30" s="22">
        <v>0.1</v>
      </c>
    </row>
    <row r="31" spans="2:6" x14ac:dyDescent="0.25">
      <c r="B31" s="39" t="s">
        <v>8</v>
      </c>
      <c r="C31" s="40"/>
      <c r="D31" s="40"/>
      <c r="E31" s="40"/>
      <c r="F31" s="33">
        <f>F26*F30</f>
        <v>2039891.3043478266</v>
      </c>
    </row>
    <row r="33" spans="2:8" x14ac:dyDescent="0.25">
      <c r="B33" s="13" t="s">
        <v>9</v>
      </c>
      <c r="C33" s="7"/>
      <c r="D33" s="7"/>
      <c r="E33" s="7"/>
      <c r="F33" s="16"/>
    </row>
    <row r="34" spans="2:8" x14ac:dyDescent="0.25">
      <c r="B34" s="44" t="s">
        <v>10</v>
      </c>
      <c r="C34" s="40"/>
      <c r="D34" s="40"/>
      <c r="E34" s="40"/>
      <c r="F34" s="45">
        <v>0.1</v>
      </c>
    </row>
    <row r="35" spans="2:8" x14ac:dyDescent="0.25">
      <c r="H35" s="8"/>
    </row>
    <row r="36" spans="2:8" x14ac:dyDescent="0.25">
      <c r="B36" s="3" t="s">
        <v>11</v>
      </c>
      <c r="C36" s="4"/>
      <c r="D36" s="4"/>
      <c r="E36" s="4"/>
      <c r="F36" s="17">
        <v>0.9</v>
      </c>
      <c r="H36" s="8"/>
    </row>
    <row r="37" spans="2:8" x14ac:dyDescent="0.25">
      <c r="B37" s="10" t="s">
        <v>8</v>
      </c>
      <c r="C37" s="11"/>
      <c r="D37" s="11"/>
      <c r="E37" s="11"/>
      <c r="F37" s="12">
        <f>F31</f>
        <v>2039891.3043478266</v>
      </c>
      <c r="H37" s="8"/>
    </row>
    <row r="38" spans="2:8" x14ac:dyDescent="0.25">
      <c r="B38" s="39" t="s">
        <v>12</v>
      </c>
      <c r="C38" s="40"/>
      <c r="D38" s="40"/>
      <c r="E38" s="40"/>
      <c r="F38" s="33">
        <f>F37/F36</f>
        <v>2266545.8937198073</v>
      </c>
    </row>
    <row r="40" spans="2:8" x14ac:dyDescent="0.25">
      <c r="B40" s="39" t="s">
        <v>13</v>
      </c>
      <c r="C40" s="40"/>
      <c r="D40" s="40"/>
      <c r="E40" s="46"/>
      <c r="F40" s="33">
        <f>F38/12</f>
        <v>188878.8244766506</v>
      </c>
    </row>
    <row r="41" spans="2:8" x14ac:dyDescent="0.25">
      <c r="B41" s="1"/>
      <c r="F41" s="8"/>
    </row>
    <row r="42" spans="2:8" x14ac:dyDescent="0.25">
      <c r="B42" s="29" t="s">
        <v>14</v>
      </c>
      <c r="C42" s="30"/>
      <c r="D42" s="31" t="s">
        <v>6</v>
      </c>
      <c r="E42" s="30"/>
      <c r="F42" s="24">
        <f>F40/F6</f>
        <v>181.61425430447173</v>
      </c>
    </row>
    <row r="43" spans="2:8" x14ac:dyDescent="0.25">
      <c r="B43" s="1"/>
      <c r="F43" s="8"/>
    </row>
    <row r="44" spans="2:8" x14ac:dyDescent="0.25">
      <c r="B44" s="25" t="s">
        <v>27</v>
      </c>
      <c r="C44" s="26"/>
      <c r="D44" s="27" t="s">
        <v>6</v>
      </c>
      <c r="E44" s="26"/>
      <c r="F44" s="28">
        <f>AVERAGE(K3:K7)</f>
        <v>199.53571428571428</v>
      </c>
    </row>
    <row r="50" spans="3:3" x14ac:dyDescent="0.25">
      <c r="C50" s="2"/>
    </row>
    <row r="51" spans="3:3" x14ac:dyDescent="0.25">
      <c r="C51" s="2"/>
    </row>
    <row r="56" spans="3:3" x14ac:dyDescent="0.25">
      <c r="C56" s="2"/>
    </row>
    <row r="57" spans="3:3" x14ac:dyDescent="0.25">
      <c r="C57" s="2"/>
    </row>
  </sheetData>
  <hyperlinks>
    <hyperlink ref="L3" r:id="rId1" xr:uid="{5A7FC93F-0135-4CCA-A92E-E5AD10BCB641}"/>
    <hyperlink ref="L4" r:id="rId2" xr:uid="{45C3C054-3B92-431B-AA82-E09E2FD9E7CF}"/>
    <hyperlink ref="L5" r:id="rId3" xr:uid="{45EAB42A-AABB-4018-9F20-9DE783E3E88E}"/>
    <hyperlink ref="L6" r:id="rId4" xr:uid="{C4241B5A-F48C-4B2B-8D13-8410A101A9C4}"/>
    <hyperlink ref="L7" r:id="rId5" xr:uid="{4F9B3A42-FE7A-4BF7-9552-CAA7C4702264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715A-48B1-4A6D-9402-78EF1E6EF85C}">
  <dimension ref="A2:C17"/>
  <sheetViews>
    <sheetView tabSelected="1" workbookViewId="0">
      <selection activeCell="C4" sqref="C4"/>
    </sheetView>
  </sheetViews>
  <sheetFormatPr defaultRowHeight="15" x14ac:dyDescent="0.25"/>
  <cols>
    <col min="1" max="1" width="13.140625" customWidth="1"/>
    <col min="2" max="2" width="19.42578125" customWidth="1"/>
    <col min="3" max="3" width="26.7109375" customWidth="1"/>
    <col min="4" max="4" width="14.140625" bestFit="1" customWidth="1"/>
  </cols>
  <sheetData>
    <row r="2" spans="1:3" x14ac:dyDescent="0.25">
      <c r="A2" s="1" t="s">
        <v>54</v>
      </c>
      <c r="C2" s="8">
        <f>'Erf 1171_Walmer'!F26</f>
        <v>20398913.043478265</v>
      </c>
    </row>
    <row r="3" spans="1:3" x14ac:dyDescent="0.25">
      <c r="A3" s="1" t="s">
        <v>55</v>
      </c>
      <c r="C3" s="8">
        <f>'Erf 1171_Walmer'!F38</f>
        <v>2266545.8937198073</v>
      </c>
    </row>
    <row r="4" spans="1:3" x14ac:dyDescent="0.25">
      <c r="A4" s="1" t="s">
        <v>56</v>
      </c>
      <c r="C4" s="67">
        <v>6.5000000000000002E-2</v>
      </c>
    </row>
    <row r="5" spans="1:3" x14ac:dyDescent="0.25">
      <c r="A5" s="1" t="s">
        <v>57</v>
      </c>
      <c r="C5" s="64">
        <f>LN((C2*C4/C3)+1)/LN(1+C4)</f>
        <v>7.3137892214452851</v>
      </c>
    </row>
    <row r="7" spans="1:3" x14ac:dyDescent="0.25">
      <c r="A7" s="65" t="s">
        <v>33</v>
      </c>
      <c r="B7" s="65" t="s">
        <v>52</v>
      </c>
      <c r="C7" s="65" t="s">
        <v>53</v>
      </c>
    </row>
    <row r="8" spans="1:3" x14ac:dyDescent="0.25">
      <c r="A8" s="62">
        <v>1</v>
      </c>
      <c r="B8" s="63">
        <f>C3*A8</f>
        <v>2266545.8937198073</v>
      </c>
      <c r="C8" s="63">
        <f>B8</f>
        <v>2266545.8937198073</v>
      </c>
    </row>
    <row r="9" spans="1:3" x14ac:dyDescent="0.25">
      <c r="A9" s="62">
        <v>2</v>
      </c>
      <c r="B9" s="8">
        <f>C8*(1+$C$4)</f>
        <v>2413871.3768115947</v>
      </c>
      <c r="C9" s="63">
        <f>C8+B9</f>
        <v>4680417.270531402</v>
      </c>
    </row>
    <row r="10" spans="1:3" x14ac:dyDescent="0.25">
      <c r="A10" s="62">
        <v>3</v>
      </c>
      <c r="B10" s="8">
        <f>B9*(1+$C$4)</f>
        <v>2570773.0163043481</v>
      </c>
      <c r="C10" s="63">
        <f t="shared" ref="C10:C15" si="0">C9+B10</f>
        <v>7251190.2868357506</v>
      </c>
    </row>
    <row r="11" spans="1:3" x14ac:dyDescent="0.25">
      <c r="A11" s="62">
        <v>4</v>
      </c>
      <c r="B11" s="8">
        <f t="shared" ref="B11:B15" si="1">B10*(1+$C$4)</f>
        <v>2737873.2623641305</v>
      </c>
      <c r="C11" s="63">
        <f t="shared" si="0"/>
        <v>9989063.549199881</v>
      </c>
    </row>
    <row r="12" spans="1:3" x14ac:dyDescent="0.25">
      <c r="A12" s="62">
        <v>5</v>
      </c>
      <c r="B12" s="8">
        <f t="shared" si="1"/>
        <v>2915835.024417799</v>
      </c>
      <c r="C12" s="63">
        <f t="shared" si="0"/>
        <v>12904898.57361768</v>
      </c>
    </row>
    <row r="13" spans="1:3" x14ac:dyDescent="0.25">
      <c r="A13" s="62">
        <v>6</v>
      </c>
      <c r="B13" s="8">
        <f t="shared" si="1"/>
        <v>3105364.3010049555</v>
      </c>
      <c r="C13" s="63">
        <f t="shared" si="0"/>
        <v>16010262.874622636</v>
      </c>
    </row>
    <row r="14" spans="1:3" x14ac:dyDescent="0.25">
      <c r="A14" s="62">
        <v>7</v>
      </c>
      <c r="B14" s="8">
        <f t="shared" si="1"/>
        <v>3307212.9805702777</v>
      </c>
      <c r="C14" s="63">
        <f t="shared" si="0"/>
        <v>19317475.855192915</v>
      </c>
    </row>
    <row r="15" spans="1:3" x14ac:dyDescent="0.25">
      <c r="A15" s="62">
        <v>8</v>
      </c>
      <c r="B15" s="8">
        <f t="shared" si="1"/>
        <v>3522181.8243073453</v>
      </c>
      <c r="C15" s="63">
        <f t="shared" si="0"/>
        <v>22839657.679500259</v>
      </c>
    </row>
    <row r="16" spans="1:3" x14ac:dyDescent="0.25">
      <c r="A16" s="62"/>
      <c r="B16" s="8"/>
      <c r="C16" s="63"/>
    </row>
    <row r="17" spans="1:3" x14ac:dyDescent="0.25">
      <c r="A17" s="62"/>
      <c r="B17" s="8"/>
      <c r="C17" s="63"/>
    </row>
  </sheetData>
  <conditionalFormatting sqref="A8:C17">
    <cfRule type="expression" dxfId="4" priority="1">
      <formula>AND($C$5&gt;A8-1,$C$5&lt;=A8,B8&lt;&gt;0)</formula>
    </cfRule>
    <cfRule type="expression" dxfId="3" priority="2">
      <formula>AND($C$5&gt;=A8,$C$5&lt;A8+1,B8&lt;&gt;0)</formula>
    </cfRule>
  </conditionalFormatting>
  <conditionalFormatting sqref="D8:D15">
    <cfRule type="containsText" dxfId="2" priority="6" operator="containsText" text="TRUE">
      <formula>NOT(ISERROR(SEARCH("TRUE",D8)))</formula>
    </cfRule>
  </conditionalFormatting>
  <conditionalFormatting sqref="D8:E15">
    <cfRule type="expression" dxfId="1" priority="3">
      <formula>AND($C$5&gt;D8-1,$C$5&lt;=D8,E8&lt;&gt;0)</formula>
    </cfRule>
    <cfRule type="expression" dxfId="0" priority="4">
      <formula>AND($C$5&gt;=D8,$C$5&lt;D8+1,E8&lt;&gt;0)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62A-110A-4D63-9E72-CD81FA928597}">
  <dimension ref="B2:E26"/>
  <sheetViews>
    <sheetView workbookViewId="0">
      <selection activeCell="H3" sqref="H3"/>
    </sheetView>
  </sheetViews>
  <sheetFormatPr defaultRowHeight="15" x14ac:dyDescent="0.25"/>
  <cols>
    <col min="1" max="1" width="3.42578125" customWidth="1"/>
    <col min="2" max="2" width="14.5703125" bestFit="1" customWidth="1"/>
    <col min="3" max="4" width="12" bestFit="1" customWidth="1"/>
    <col min="5" max="5" width="12.7109375" bestFit="1" customWidth="1"/>
  </cols>
  <sheetData>
    <row r="2" spans="2:5" x14ac:dyDescent="0.25">
      <c r="B2" s="66" t="s">
        <v>36</v>
      </c>
      <c r="C2" s="66"/>
      <c r="D2" s="66"/>
      <c r="E2" s="66"/>
    </row>
    <row r="3" spans="2:5" x14ac:dyDescent="0.25">
      <c r="B3" s="23"/>
      <c r="C3" s="23" t="s">
        <v>35</v>
      </c>
      <c r="D3" s="23" t="s">
        <v>29</v>
      </c>
      <c r="E3" s="23" t="s">
        <v>30</v>
      </c>
    </row>
    <row r="4" spans="2:5" x14ac:dyDescent="0.25">
      <c r="C4">
        <v>913</v>
      </c>
      <c r="D4">
        <f>145078/1.15</f>
        <v>126154.78260869566</v>
      </c>
      <c r="E4">
        <f>8954.2/1.15</f>
        <v>7786.2608695652189</v>
      </c>
    </row>
    <row r="6" spans="2:5" x14ac:dyDescent="0.25">
      <c r="B6" s="6"/>
      <c r="C6" s="23" t="s">
        <v>31</v>
      </c>
      <c r="D6" s="23" t="s">
        <v>32</v>
      </c>
      <c r="E6" s="23" t="s">
        <v>33</v>
      </c>
    </row>
    <row r="7" spans="2:5" x14ac:dyDescent="0.25">
      <c r="B7" s="34" t="s">
        <v>29</v>
      </c>
      <c r="C7">
        <f>D4/C4</f>
        <v>138.1761036239821</v>
      </c>
      <c r="D7">
        <v>1040</v>
      </c>
    </row>
    <row r="8" spans="2:5" x14ac:dyDescent="0.25">
      <c r="D8">
        <f>D7*C7</f>
        <v>143703.14776894139</v>
      </c>
      <c r="E8">
        <v>2021</v>
      </c>
    </row>
    <row r="9" spans="2:5" x14ac:dyDescent="0.25">
      <c r="D9">
        <f>D8*1.1</f>
        <v>158073.46254583553</v>
      </c>
      <c r="E9">
        <v>2022</v>
      </c>
    </row>
    <row r="10" spans="2:5" x14ac:dyDescent="0.25">
      <c r="D10">
        <f t="shared" ref="D10:D13" si="0">D9*1.1</f>
        <v>173880.80880041909</v>
      </c>
      <c r="E10">
        <v>2023</v>
      </c>
    </row>
    <row r="11" spans="2:5" x14ac:dyDescent="0.25">
      <c r="D11">
        <f t="shared" si="0"/>
        <v>191268.88968046103</v>
      </c>
      <c r="E11">
        <v>2024</v>
      </c>
    </row>
    <row r="12" spans="2:5" x14ac:dyDescent="0.25">
      <c r="D12">
        <f t="shared" si="0"/>
        <v>210395.77864850714</v>
      </c>
      <c r="E12">
        <v>2025</v>
      </c>
    </row>
    <row r="13" spans="2:5" x14ac:dyDescent="0.25">
      <c r="D13">
        <f t="shared" si="0"/>
        <v>231435.35651335787</v>
      </c>
      <c r="E13">
        <v>2026</v>
      </c>
    </row>
    <row r="15" spans="2:5" x14ac:dyDescent="0.25">
      <c r="B15" s="6"/>
      <c r="C15" s="23" t="s">
        <v>31</v>
      </c>
      <c r="D15" s="23" t="s">
        <v>32</v>
      </c>
      <c r="E15" s="23" t="s">
        <v>33</v>
      </c>
    </row>
    <row r="16" spans="2:5" x14ac:dyDescent="0.25">
      <c r="B16" s="34" t="s">
        <v>30</v>
      </c>
      <c r="C16">
        <f>E4/C4</f>
        <v>8.5282156293156834</v>
      </c>
      <c r="D16">
        <v>1040</v>
      </c>
    </row>
    <row r="17" spans="2:5" x14ac:dyDescent="0.25">
      <c r="D17">
        <f>D16*C16</f>
        <v>8869.344254488311</v>
      </c>
      <c r="E17">
        <v>2021</v>
      </c>
    </row>
    <row r="18" spans="2:5" x14ac:dyDescent="0.25">
      <c r="D18">
        <f>D17*1.1</f>
        <v>9756.2786799371424</v>
      </c>
      <c r="E18">
        <v>2022</v>
      </c>
    </row>
    <row r="19" spans="2:5" x14ac:dyDescent="0.25">
      <c r="D19">
        <f t="shared" ref="D19:D22" si="1">D18*1.1</f>
        <v>10731.906547930857</v>
      </c>
      <c r="E19">
        <v>2023</v>
      </c>
    </row>
    <row r="20" spans="2:5" x14ac:dyDescent="0.25">
      <c r="D20">
        <f t="shared" si="1"/>
        <v>11805.097202723944</v>
      </c>
      <c r="E20">
        <v>2024</v>
      </c>
    </row>
    <row r="21" spans="2:5" x14ac:dyDescent="0.25">
      <c r="D21">
        <f t="shared" si="1"/>
        <v>12985.60692299634</v>
      </c>
      <c r="E21">
        <v>2025</v>
      </c>
    </row>
    <row r="22" spans="2:5" x14ac:dyDescent="0.25">
      <c r="D22">
        <f t="shared" si="1"/>
        <v>14284.167615295975</v>
      </c>
      <c r="E22">
        <v>2026</v>
      </c>
    </row>
    <row r="24" spans="2:5" x14ac:dyDescent="0.25">
      <c r="B24" s="6"/>
      <c r="C24" s="23" t="s">
        <v>31</v>
      </c>
      <c r="D24" s="23" t="s">
        <v>32</v>
      </c>
      <c r="E24" s="23" t="s">
        <v>33</v>
      </c>
    </row>
    <row r="25" spans="2:5" x14ac:dyDescent="0.25">
      <c r="B25" s="35" t="s">
        <v>34</v>
      </c>
      <c r="C25">
        <v>5077.3913043478269</v>
      </c>
      <c r="D25">
        <v>1040</v>
      </c>
    </row>
    <row r="26" spans="2:5" x14ac:dyDescent="0.25">
      <c r="D26">
        <f>75466.72/1.15</f>
        <v>65623.234782608706</v>
      </c>
      <c r="E26">
        <v>2026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Erf 1171_Walmer</vt:lpstr>
      <vt:lpstr>Forecast</vt:lpstr>
      <vt:lpstr>TDL_Sewer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2026-02-02T11:16:18Z</dcterms:created>
  <dcterms:modified xsi:type="dcterms:W3CDTF">2026-03-18T08:00:20Z</dcterms:modified>
</cp:coreProperties>
</file>