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13 - Paul Du Preez\1.  Lodge\"/>
    </mc:Choice>
  </mc:AlternateContent>
  <xr:revisionPtr revIDLastSave="0" documentId="13_ncr:1_{E58C2ADA-95C2-424F-8512-008745F5BB69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3" l="1"/>
  <c r="G19" i="3" s="1"/>
  <c r="F18" i="3"/>
  <c r="F17" i="3"/>
  <c r="G17" i="3"/>
  <c r="F23" i="3"/>
  <c r="G23" i="3" s="1"/>
  <c r="F34" i="3"/>
  <c r="G34" i="3" s="1"/>
  <c r="B31" i="3"/>
  <c r="H61" i="3"/>
  <c r="H62" i="3"/>
  <c r="H63" i="3"/>
  <c r="H65" i="3"/>
  <c r="H66" i="3"/>
  <c r="H67" i="3"/>
  <c r="H68" i="3"/>
  <c r="H70" i="3"/>
  <c r="H71" i="3"/>
  <c r="H72" i="3"/>
  <c r="H73" i="3"/>
  <c r="H75" i="3"/>
  <c r="H76" i="3"/>
  <c r="H77" i="3"/>
  <c r="H78" i="3"/>
  <c r="H60" i="3"/>
  <c r="F80" i="3"/>
  <c r="G80" i="3" s="1"/>
  <c r="E80" i="3"/>
  <c r="G38" i="3"/>
  <c r="G29" i="3"/>
  <c r="G28" i="3"/>
  <c r="G39" i="3"/>
  <c r="G24" i="3"/>
  <c r="F33" i="3"/>
  <c r="G33" i="3" s="1"/>
  <c r="G37" i="3"/>
  <c r="G32" i="3"/>
  <c r="F27" i="3"/>
  <c r="G27" i="3" s="1"/>
  <c r="G22" i="3"/>
  <c r="G36" i="3"/>
  <c r="G31" i="3"/>
  <c r="G26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H91" i="3" l="1"/>
  <c r="G16" i="3"/>
  <c r="G43" i="3"/>
  <c r="F42" i="3"/>
  <c r="G42" i="3" s="1"/>
  <c r="E42" i="3"/>
  <c r="G18" i="3" l="1"/>
  <c r="G95" i="3" l="1"/>
  <c r="H58" i="3"/>
  <c r="H57" i="3" l="1"/>
  <c r="C14" i="2"/>
  <c r="C15" i="2" s="1"/>
  <c r="H55" i="3"/>
  <c r="H56" i="3"/>
  <c r="K63" i="2"/>
  <c r="M56" i="3"/>
  <c r="O96" i="3"/>
  <c r="O95" i="3"/>
  <c r="O94" i="3"/>
  <c r="O93" i="3"/>
  <c r="O92" i="3"/>
  <c r="O91" i="3"/>
  <c r="O90" i="3"/>
  <c r="O89" i="3"/>
  <c r="H53" i="3" l="1"/>
  <c r="H82" i="3" s="1"/>
  <c r="H84" i="3" s="1"/>
  <c r="L63" i="2"/>
  <c r="L64" i="2"/>
  <c r="H95" i="3"/>
  <c r="O97" i="3"/>
  <c r="L65" i="2" l="1"/>
  <c r="K64" i="2" s="1"/>
  <c r="E97" i="3"/>
  <c r="E102" i="3" s="1"/>
  <c r="E103" i="3" s="1"/>
  <c r="E5" i="2"/>
  <c r="E104" i="3" l="1"/>
  <c r="E106" i="3" s="1"/>
  <c r="K25" i="2"/>
  <c r="K44" i="2"/>
  <c r="F109" i="3" l="1"/>
  <c r="H109" i="3" s="1"/>
  <c r="F112" i="3"/>
  <c r="H112" i="3" s="1"/>
  <c r="F115" i="3"/>
  <c r="F113" i="3"/>
  <c r="F110" i="3"/>
  <c r="H110" i="3" s="1"/>
  <c r="F114" i="3"/>
  <c r="H114" i="3" s="1"/>
  <c r="F111" i="3"/>
  <c r="H111" i="3" s="1"/>
  <c r="L45" i="2"/>
  <c r="L44" i="2"/>
  <c r="L26" i="2"/>
  <c r="L25" i="2"/>
  <c r="C16" i="2"/>
  <c r="C18" i="2" s="1"/>
  <c r="H113" i="3" l="1"/>
  <c r="H118" i="3"/>
  <c r="H115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117" i="3" l="1"/>
  <c r="H120" i="3" s="1"/>
  <c r="Q14" i="2"/>
  <c r="W9" i="2"/>
  <c r="S9" i="2" s="1"/>
  <c r="S15" i="2" s="1"/>
  <c r="O30" i="1" l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39" i="3" s="1"/>
  <c r="H39" i="3" s="1"/>
  <c r="I39" i="3" s="1"/>
  <c r="E29" i="3" l="1"/>
  <c r="H29" i="3" s="1"/>
  <c r="I29" i="3" s="1"/>
  <c r="E34" i="3"/>
  <c r="H34" i="3" s="1"/>
  <c r="I34" i="3" s="1"/>
  <c r="E19" i="3"/>
  <c r="H19" i="3" s="1"/>
  <c r="I19" i="3" s="1"/>
  <c r="E24" i="3"/>
  <c r="H24" i="3" s="1"/>
  <c r="I24" i="3" s="1"/>
  <c r="E33" i="3"/>
  <c r="H33" i="3" s="1"/>
  <c r="I33" i="3" s="1"/>
  <c r="E38" i="3"/>
  <c r="H38" i="3" s="1"/>
  <c r="I38" i="3" s="1"/>
  <c r="E23" i="3"/>
  <c r="H23" i="3" s="1"/>
  <c r="I23" i="3" s="1"/>
  <c r="E28" i="3"/>
  <c r="H28" i="3" s="1"/>
  <c r="I28" i="3" s="1"/>
  <c r="E32" i="3"/>
  <c r="H32" i="3" s="1"/>
  <c r="I32" i="3" s="1"/>
  <c r="E37" i="3"/>
  <c r="H37" i="3" s="1"/>
  <c r="I37" i="3" s="1"/>
  <c r="E22" i="3"/>
  <c r="H22" i="3" s="1"/>
  <c r="E27" i="3"/>
  <c r="H27" i="3" s="1"/>
  <c r="I27" i="3" s="1"/>
  <c r="E31" i="3"/>
  <c r="H31" i="3" s="1"/>
  <c r="I31" i="3" s="1"/>
  <c r="E36" i="3"/>
  <c r="H36" i="3" s="1"/>
  <c r="I36" i="3" s="1"/>
  <c r="E21" i="3"/>
  <c r="E26" i="3"/>
  <c r="H26" i="3" s="1"/>
  <c r="I26" i="3" s="1"/>
  <c r="E18" i="3"/>
  <c r="H18" i="3" s="1"/>
  <c r="I18" i="3" s="1"/>
  <c r="E17" i="3"/>
  <c r="H17" i="3" s="1"/>
  <c r="I17" i="3" s="1"/>
  <c r="E16" i="3"/>
  <c r="H16" i="3" s="1"/>
  <c r="I16" i="3" s="1"/>
  <c r="F5" i="2"/>
  <c r="G5" i="2" s="1"/>
  <c r="H5" i="2" s="1"/>
  <c r="J36" i="3" l="1"/>
  <c r="J31" i="3"/>
  <c r="J16" i="3"/>
  <c r="J26" i="3"/>
  <c r="H21" i="3"/>
  <c r="I21" i="3" s="1"/>
  <c r="I22" i="3"/>
  <c r="F15" i="3"/>
  <c r="G21" i="3"/>
  <c r="G15" i="3" s="1"/>
  <c r="O15" i="3" s="1"/>
  <c r="J21" i="3" l="1"/>
  <c r="H15" i="3"/>
  <c r="H44" i="3" s="1"/>
  <c r="H45" i="3" s="1"/>
  <c r="H46" i="3" l="1"/>
  <c r="O19" i="3" s="1"/>
  <c r="L44" i="3" l="1"/>
  <c r="N54" i="3" s="1"/>
  <c r="N53" i="3" l="1"/>
  <c r="N55" i="3"/>
  <c r="M44" i="3"/>
  <c r="N44" i="3" s="1"/>
  <c r="P44" i="3" s="1"/>
  <c r="O44" i="3" s="1"/>
  <c r="N56" i="3" l="1"/>
  <c r="O46" i="3"/>
  <c r="O48" i="3" s="1"/>
</calcChain>
</file>

<file path=xl/sharedStrings.xml><?xml version="1.0" encoding="utf-8"?>
<sst xmlns="http://schemas.openxmlformats.org/spreadsheetml/2006/main" count="325" uniqueCount="178">
  <si>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</si>
  <si>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</si>
  <si>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</si>
  <si>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</si>
  <si>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</si>
  <si>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</si>
  <si>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</si>
  <si>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</si>
  <si>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</si>
  <si>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</si>
  <si>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</si>
  <si>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</si>
  <si>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</si>
  <si>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</si>
  <si>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</si>
  <si>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</si>
  <si>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</si>
  <si>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</si>
  <si>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</si>
  <si>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</si>
  <si>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</si>
  <si>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</si>
  <si>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</si>
  <si>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</si>
  <si>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</si>
  <si>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</si>
  <si>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</si>
  <si>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</si>
  <si>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</si>
  <si>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</si>
  <si>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</si>
  <si>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</si>
  <si>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</si>
  <si>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</si>
  <si>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</si>
  <si>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</si>
  <si>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</si>
  <si>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</si>
  <si>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</si>
  <si>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</si>
  <si>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</si>
  <si>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</si>
  <si>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</si>
  <si>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</si>
  <si>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</si>
  <si>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</si>
  <si>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</si>
  <si>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</si>
  <si>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</si>
  <si>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</si>
  <si>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</si>
  <si>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</si>
  <si>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</si>
  <si>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</si>
  <si>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</si>
  <si>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</si>
  <si>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</si>
  <si>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</si>
  <si>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</si>
  <si>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</si>
  <si>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</si>
  <si>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</si>
  <si>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</si>
  <si>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</si>
  <si>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</si>
  <si>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</si>
  <si>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</si>
  <si>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</si>
  <si>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</si>
  <si>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</si>
  <si>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</si>
  <si>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</si>
  <si>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</si>
  <si>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</si>
  <si>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</si>
  <si>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</si>
  <si>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</si>
  <si>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</si>
  <si>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</si>
  <si>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</si>
  <si>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</si>
  <si>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</si>
  <si>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</si>
  <si>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</si>
  <si>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</si>
  <si>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</si>
  <si>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</si>
  <si>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</si>
  <si>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</si>
  <si>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</si>
  <si>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</si>
  <si>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</si>
  <si>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</si>
  <si>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</si>
  <si>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</si>
  <si>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</si>
  <si>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</si>
  <si>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</si>
  <si>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</si>
  <si>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</si>
  <si>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</si>
  <si>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</si>
  <si>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</si>
  <si>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</si>
  <si>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</si>
  <si>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</si>
  <si>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</si>
  <si>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</si>
  <si>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</si>
  <si>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</si>
  <si>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</si>
  <si>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</si>
  <si>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</si>
  <si>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</si>
  <si>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</si>
  <si>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</si>
  <si>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</si>
  <si>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</si>
  <si>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</si>
  <si>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</si>
  <si>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</si>
  <si>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</si>
  <si>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</si>
  <si>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</si>
  <si>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</si>
  <si>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</si>
  <si>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</si>
  <si>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</si>
  <si>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</si>
  <si>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</si>
  <si>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</si>
  <si>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</si>
  <si>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</si>
  <si>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</si>
  <si>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</si>
  <si>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</si>
  <si>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</si>
  <si>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</si>
  <si>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</si>
  <si>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</si>
  <si>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</si>
  <si>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</si>
  <si>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</si>
  <si>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</si>
  <si>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</si>
  <si>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</si>
  <si>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</si>
  <si>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</si>
  <si>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</si>
  <si>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</si>
  <si>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</si>
  <si>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</si>
  <si>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</si>
  <si>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</si>
  <si>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</si>
  <si>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</si>
  <si>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</si>
  <si>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</si>
  <si>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</si>
  <si>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</si>
  <si>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</si>
  <si>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</si>
  <si>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</si>
  <si>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</si>
  <si>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</si>
  <si>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</si>
  <si>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</si>
  <si>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Travel</t>
  </si>
  <si>
    <t>Design Layout</t>
  </si>
  <si>
    <t>Design 3D</t>
  </si>
  <si>
    <t>Johan</t>
  </si>
  <si>
    <t>Draw</t>
  </si>
  <si>
    <t>Measure (old building)</t>
  </si>
  <si>
    <t>Measure (bar building)</t>
  </si>
  <si>
    <t>Measure (single units)</t>
  </si>
  <si>
    <t>Measure (Duplex units)</t>
  </si>
  <si>
    <t>Measure (Laundry + Refuse building)</t>
  </si>
  <si>
    <t>Draw layout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</si>
</sst>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169" fontId="0" fillId="0" borderId="14" xfId="0" applyNumberFormat="1" applyBorder="1"/>
    <xf numFmtId="0" fontId="3" fillId="0" borderId="0" xfId="0" applyFont="1" applyAlignment="1">
      <alignment horizontal="center" wrapText="1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4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3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00"/>
      <c r="B1" s="300"/>
      <c r="C1" s="300"/>
      <c r="D1" s="300"/>
      <c r="E1" s="300"/>
      <c r="F1" s="300"/>
      <c r="G1" s="300"/>
      <c r="H1" s="300"/>
      <c r="I1" s="300"/>
      <c r="J1" s="300"/>
    </row>
    <row r="2" spans="1:11" x14ac:dyDescent="0.3">
      <c r="A2" s="300"/>
      <c r="B2" s="300"/>
      <c r="C2" s="300"/>
      <c r="D2" s="300"/>
      <c r="E2" s="300"/>
      <c r="F2" s="300"/>
      <c r="G2" s="300"/>
      <c r="H2" s="300"/>
      <c r="I2" s="300"/>
      <c r="J2" s="300"/>
    </row>
    <row r="3" spans="1:11" x14ac:dyDescent="0.3">
      <c r="A3" s="300"/>
      <c r="B3" s="300"/>
      <c r="C3" s="300"/>
      <c r="D3" s="300"/>
      <c r="E3" s="300"/>
      <c r="F3" s="300"/>
      <c r="G3" s="300"/>
      <c r="H3" s="300"/>
      <c r="I3" s="300"/>
      <c r="J3" s="300"/>
    </row>
    <row r="4" spans="1:11" x14ac:dyDescent="0.3">
      <c r="A4" s="300"/>
      <c r="B4" s="300"/>
      <c r="C4" s="300"/>
      <c r="D4" s="300"/>
      <c r="E4" s="300"/>
      <c r="F4" s="300"/>
      <c r="G4" s="300"/>
      <c r="H4" s="300"/>
      <c r="I4" s="300"/>
      <c r="J4" s="300"/>
    </row>
    <row r="5" spans="1:11" x14ac:dyDescent="0.3">
      <c r="A5" s="300"/>
      <c r="B5" s="300"/>
      <c r="C5" s="300"/>
      <c r="D5" s="300"/>
      <c r="E5" s="300"/>
      <c r="F5" s="300"/>
      <c r="G5" s="300"/>
      <c r="H5" s="300"/>
      <c r="I5" s="300"/>
      <c r="J5" s="300"/>
    </row>
    <row r="6" spans="1:11" x14ac:dyDescent="0.3">
      <c r="A6" s="300"/>
      <c r="B6" s="300"/>
      <c r="C6" s="300"/>
      <c r="D6" s="300"/>
      <c r="E6" s="300"/>
      <c r="F6" s="300"/>
      <c r="G6" s="300"/>
      <c r="H6" s="300"/>
      <c r="I6" s="300"/>
      <c r="J6" s="300"/>
    </row>
    <row r="7" spans="1:11" x14ac:dyDescent="0.3">
      <c r="A7" s="300"/>
      <c r="B7" s="300"/>
      <c r="C7" s="300"/>
      <c r="D7" s="300"/>
      <c r="E7" s="300"/>
      <c r="F7" s="300"/>
      <c r="G7" s="300"/>
      <c r="H7" s="300"/>
      <c r="I7" s="300"/>
      <c r="J7" s="300"/>
    </row>
    <row r="8" spans="1:11" x14ac:dyDescent="0.3">
      <c r="A8" s="300"/>
      <c r="B8" s="300"/>
      <c r="C8" s="300"/>
      <c r="D8" s="300"/>
      <c r="E8" s="300"/>
      <c r="F8" s="300"/>
      <c r="G8" s="300"/>
      <c r="H8" s="300"/>
      <c r="I8" s="300"/>
      <c r="J8" s="300"/>
    </row>
    <row r="9" spans="1:11" x14ac:dyDescent="0.3">
      <c r="A9" s="300"/>
      <c r="B9" s="300"/>
      <c r="C9" s="300"/>
      <c r="D9" s="300"/>
      <c r="E9" s="300"/>
      <c r="F9" s="300"/>
      <c r="G9" s="300"/>
      <c r="H9" s="300"/>
      <c r="I9" s="300"/>
      <c r="J9" s="300"/>
    </row>
    <row r="10" spans="1:11" x14ac:dyDescent="0.3">
      <c r="A10" s="300"/>
      <c r="B10" s="300"/>
      <c r="C10" s="300"/>
      <c r="D10" s="300"/>
      <c r="E10" s="300"/>
      <c r="F10" s="300"/>
      <c r="G10" s="300"/>
      <c r="H10" s="300"/>
      <c r="I10" s="300"/>
      <c r="J10" s="300"/>
    </row>
    <row r="11" spans="1:11" ht="21" thickBot="1" x14ac:dyDescent="0.35">
      <c r="A11" s="298" t="s">
        <v>5</v>
      </c>
      <c r="B11" s="299"/>
      <c r="C11" s="299"/>
      <c r="D11" s="299"/>
      <c r="E11" s="299"/>
      <c r="F11" s="299"/>
      <c r="G11" s="299"/>
      <c r="H11" s="299"/>
      <c r="I11" s="299"/>
      <c r="J11" s="299"/>
    </row>
    <row r="12" spans="1:11" ht="18.75" customHeight="1" thickBot="1" x14ac:dyDescent="0.35">
      <c r="A12" s="226" t="s">
        <v>88</v>
      </c>
      <c r="B12" s="227" t="s">
        <v>1</v>
      </c>
      <c r="C12" s="225" t="s">
        <v>0</v>
      </c>
      <c r="D12" s="229" t="s">
        <v>115</v>
      </c>
      <c r="E12" s="303" t="s">
        <v>9</v>
      </c>
      <c r="F12" s="307"/>
      <c r="G12" s="304"/>
      <c r="H12" s="303" t="s">
        <v>4</v>
      </c>
      <c r="I12" s="304"/>
      <c r="J12" s="225" t="s">
        <v>131</v>
      </c>
    </row>
    <row r="13" spans="1:11" x14ac:dyDescent="0.3">
      <c r="A13" s="221">
        <v>1</v>
      </c>
      <c r="B13" s="231" t="s">
        <v>132</v>
      </c>
      <c r="C13" s="113" t="s">
        <v>2</v>
      </c>
      <c r="D13" s="223">
        <v>40000</v>
      </c>
      <c r="E13" s="305">
        <v>0.1</v>
      </c>
      <c r="F13" s="305"/>
      <c r="G13" s="223">
        <f>D13*E13</f>
        <v>4000</v>
      </c>
      <c r="H13" s="302">
        <f>D13+G13</f>
        <v>44000</v>
      </c>
      <c r="I13" s="302"/>
      <c r="J13" s="113">
        <v>2</v>
      </c>
    </row>
    <row r="14" spans="1:11" x14ac:dyDescent="0.3">
      <c r="A14" s="221">
        <v>2</v>
      </c>
      <c r="B14" s="113" t="s">
        <v>92</v>
      </c>
      <c r="C14" s="113" t="s">
        <v>91</v>
      </c>
      <c r="D14" s="222">
        <v>24000</v>
      </c>
      <c r="E14" s="306">
        <v>0.1</v>
      </c>
      <c r="F14" s="306"/>
      <c r="G14" s="223">
        <f>D14*E14</f>
        <v>2400</v>
      </c>
      <c r="H14" s="301">
        <f>D14+G14</f>
        <v>26400</v>
      </c>
      <c r="I14" s="301"/>
      <c r="J14" s="113">
        <v>1</v>
      </c>
    </row>
    <row r="15" spans="1:11" x14ac:dyDescent="0.3">
      <c r="A15" s="221"/>
      <c r="B15" s="113"/>
      <c r="C15" s="113"/>
      <c r="D15" s="222"/>
      <c r="E15" s="294"/>
      <c r="F15" s="294"/>
      <c r="G15" s="223"/>
      <c r="H15" s="301"/>
      <c r="I15" s="301"/>
      <c r="J15" s="113"/>
    </row>
    <row r="16" spans="1:11" x14ac:dyDescent="0.3">
      <c r="A16" s="4"/>
      <c r="E16" s="295"/>
      <c r="F16" s="295"/>
      <c r="H16" s="295"/>
      <c r="I16" s="295"/>
      <c r="K16"/>
    </row>
    <row r="17" spans="1:15" ht="21" thickBot="1" x14ac:dyDescent="0.35">
      <c r="A17" s="308" t="s">
        <v>6</v>
      </c>
      <c r="B17" s="308"/>
      <c r="C17" s="308"/>
      <c r="D17" s="308"/>
      <c r="E17" s="308"/>
      <c r="F17" s="308"/>
      <c r="G17" s="308"/>
      <c r="H17" s="308"/>
      <c r="I17" s="308"/>
      <c r="J17" s="308"/>
      <c r="K17"/>
    </row>
    <row r="18" spans="1:15" ht="18" thickBot="1" x14ac:dyDescent="0.35">
      <c r="A18" s="224" t="s">
        <v>88</v>
      </c>
      <c r="B18" s="228" t="s">
        <v>7</v>
      </c>
      <c r="C18" s="309" t="s">
        <v>10</v>
      </c>
      <c r="D18" s="310"/>
      <c r="E18" s="296" t="s">
        <v>8</v>
      </c>
      <c r="F18" s="297"/>
      <c r="G18" s="312" t="s">
        <v>11</v>
      </c>
      <c r="H18" s="313"/>
      <c r="I18" s="313"/>
      <c r="J18" s="313"/>
      <c r="K18"/>
    </row>
    <row r="19" spans="1:15" x14ac:dyDescent="0.3">
      <c r="A19" s="221">
        <v>1</v>
      </c>
      <c r="B19" s="230">
        <v>21</v>
      </c>
      <c r="C19" s="311">
        <f>D45</f>
        <v>6240.323166666667</v>
      </c>
      <c r="D19" s="311"/>
      <c r="E19" s="316">
        <v>8</v>
      </c>
      <c r="F19" s="316"/>
      <c r="G19" s="314">
        <f>ROUNDUP(C19/E19,-0.1)</f>
        <v>781</v>
      </c>
      <c r="H19" s="314"/>
      <c r="I19" s="314"/>
      <c r="J19" s="314"/>
      <c r="K19" s="113"/>
    </row>
    <row r="20" spans="1:15" x14ac:dyDescent="0.3">
      <c r="A20" s="221">
        <v>2</v>
      </c>
      <c r="B20" s="230">
        <v>21</v>
      </c>
      <c r="C20" s="294">
        <f ca="1">J45</f>
        <v>5167.8</v>
      </c>
      <c r="D20" s="294"/>
      <c r="E20" s="317">
        <v>8</v>
      </c>
      <c r="F20" s="317"/>
      <c r="G20" s="315">
        <f ca="1">ROUNDUP(C20/E20,-1)</f>
        <v>650</v>
      </c>
      <c r="H20" s="315"/>
      <c r="I20" s="315"/>
      <c r="J20" s="315"/>
      <c r="K20" s="113"/>
    </row>
    <row r="21" spans="1:15" x14ac:dyDescent="0.3">
      <c r="A21" s="4"/>
      <c r="E21" s="295"/>
      <c r="F21" s="295"/>
      <c r="K21"/>
    </row>
    <row r="22" spans="1:15" ht="21" thickBot="1" x14ac:dyDescent="0.35">
      <c r="A22" s="298" t="s">
        <v>133</v>
      </c>
      <c r="B22" s="299"/>
      <c r="C22" s="299"/>
      <c r="D22" s="299"/>
      <c r="E22" s="299"/>
      <c r="F22" s="299"/>
      <c r="G22" s="299"/>
      <c r="H22" s="299"/>
      <c r="I22" s="299"/>
      <c r="J22" s="299"/>
      <c r="K22"/>
    </row>
    <row r="23" spans="1:15" ht="18" thickBot="1" x14ac:dyDescent="0.35">
      <c r="A23" s="224"/>
      <c r="B23" s="243" t="s">
        <v>134</v>
      </c>
      <c r="C23" s="243"/>
      <c r="D23" s="243" t="s">
        <v>3</v>
      </c>
      <c r="E23" s="243"/>
      <c r="F23" s="6"/>
      <c r="G23" s="6"/>
      <c r="H23" s="6"/>
      <c r="I23" s="6"/>
      <c r="J23" s="237"/>
    </row>
    <row r="24" spans="1:15" x14ac:dyDescent="0.3">
      <c r="A24" s="245">
        <v>1</v>
      </c>
      <c r="B24" s="14" t="s">
        <v>135</v>
      </c>
      <c r="C24" s="14"/>
      <c r="D24" s="250">
        <v>9510</v>
      </c>
      <c r="E24" s="251"/>
      <c r="F24" s="244">
        <v>1</v>
      </c>
      <c r="G24" s="1" t="s">
        <v>163</v>
      </c>
      <c r="I24" s="260">
        <v>1</v>
      </c>
      <c r="J24" s="252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5">
        <v>1000</v>
      </c>
      <c r="E25" s="252"/>
      <c r="F25" s="244">
        <v>2</v>
      </c>
      <c r="G25" s="1" t="s">
        <v>164</v>
      </c>
      <c r="I25" s="260">
        <v>1</v>
      </c>
      <c r="J25" s="252">
        <f ca="1">SUMIF($L$33:$O$43,G25,$O$33:$O$43)*$I$25</f>
        <v>350</v>
      </c>
      <c r="L25" s="233" t="s">
        <v>153</v>
      </c>
      <c r="M25" s="248" t="s">
        <v>154</v>
      </c>
      <c r="N25" s="234" t="s">
        <v>4</v>
      </c>
      <c r="O25" s="249" t="s">
        <v>155</v>
      </c>
    </row>
    <row r="26" spans="1:15" x14ac:dyDescent="0.3">
      <c r="A26" s="4">
        <v>3</v>
      </c>
      <c r="B26" s="1" t="s">
        <v>138</v>
      </c>
      <c r="D26" s="215">
        <v>3830</v>
      </c>
      <c r="E26" s="252"/>
      <c r="F26" s="244">
        <v>3</v>
      </c>
      <c r="G26" s="1" t="s">
        <v>135</v>
      </c>
      <c r="I26" s="260">
        <v>0.3</v>
      </c>
      <c r="J26" s="252">
        <f ca="1">SUMIF($B$24:$D$36,G26,$D$24:$D$36)*I26</f>
        <v>2853</v>
      </c>
      <c r="L26" s="175" t="s">
        <v>160</v>
      </c>
      <c r="M26" s="246">
        <v>12</v>
      </c>
      <c r="N26" s="259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139</v>
      </c>
      <c r="D27" s="215">
        <v>600</v>
      </c>
      <c r="E27" s="252"/>
      <c r="F27" s="244">
        <v>4</v>
      </c>
      <c r="G27" s="1" t="s">
        <v>136</v>
      </c>
      <c r="I27" s="260">
        <v>0.3</v>
      </c>
      <c r="J27" s="252">
        <f ca="1">SUMIF($B$24:$D$36,G27,$D$24:$D$36)*I27</f>
        <v>300</v>
      </c>
      <c r="L27" s="77" t="s">
        <v>156</v>
      </c>
      <c r="M27" s="1">
        <v>12</v>
      </c>
      <c r="N27" s="215">
        <v>13200</v>
      </c>
      <c r="O27" s="252">
        <f>N27/M27</f>
        <v>1100</v>
      </c>
    </row>
    <row r="28" spans="1:15" x14ac:dyDescent="0.3">
      <c r="A28" s="4">
        <v>5</v>
      </c>
      <c r="B28" s="1" t="s">
        <v>140</v>
      </c>
      <c r="D28" s="215">
        <v>770</v>
      </c>
      <c r="E28" s="252"/>
      <c r="F28" s="244">
        <v>5</v>
      </c>
      <c r="G28" s="1" t="s">
        <v>139</v>
      </c>
      <c r="I28" s="260">
        <v>0.3</v>
      </c>
      <c r="J28" s="252">
        <f ca="1">SUMIF($B$24:$D$36,G28,$D$24:$D$36)*I28</f>
        <v>180</v>
      </c>
      <c r="L28" s="77" t="s">
        <v>157</v>
      </c>
      <c r="M28" s="1">
        <v>12</v>
      </c>
      <c r="N28" s="215">
        <v>1600</v>
      </c>
      <c r="O28" s="252">
        <f>N28/M28</f>
        <v>133.33333333333334</v>
      </c>
    </row>
    <row r="29" spans="1:15" x14ac:dyDescent="0.3">
      <c r="A29" s="4">
        <v>6</v>
      </c>
      <c r="B29" s="1" t="s">
        <v>141</v>
      </c>
      <c r="D29" s="215">
        <f>700*4*2</f>
        <v>5600</v>
      </c>
      <c r="E29" s="252"/>
      <c r="F29" s="244">
        <v>6</v>
      </c>
      <c r="G29" s="1" t="s">
        <v>140</v>
      </c>
      <c r="I29" s="260">
        <v>0.3</v>
      </c>
      <c r="J29" s="252">
        <f ca="1">SUMIF($B$24:$D$36,G29,$D$24:$D$36)*I29</f>
        <v>231</v>
      </c>
      <c r="L29" s="179" t="s">
        <v>158</v>
      </c>
      <c r="M29" s="180">
        <v>12</v>
      </c>
      <c r="N29" s="180"/>
      <c r="O29" s="247"/>
    </row>
    <row r="30" spans="1:15" x14ac:dyDescent="0.3">
      <c r="A30" s="4">
        <v>7</v>
      </c>
      <c r="B30" s="1" t="s">
        <v>142</v>
      </c>
      <c r="D30" s="215">
        <v>4000</v>
      </c>
      <c r="E30" s="252"/>
      <c r="J30" s="178"/>
      <c r="L30" s="233"/>
      <c r="M30" s="232"/>
      <c r="N30" s="232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143</v>
      </c>
      <c r="D31" s="215">
        <v>200</v>
      </c>
      <c r="E31" s="252"/>
      <c r="F31" s="77"/>
      <c r="J31" s="178"/>
    </row>
    <row r="32" spans="1:15" x14ac:dyDescent="0.3">
      <c r="A32" s="4">
        <v>9</v>
      </c>
      <c r="B32" s="1" t="s">
        <v>144</v>
      </c>
      <c r="D32" s="215">
        <f>O43*2</f>
        <v>700</v>
      </c>
      <c r="E32" s="252"/>
      <c r="J32" s="178"/>
      <c r="L32" s="1" t="s">
        <v>159</v>
      </c>
    </row>
    <row r="33" spans="1:15" x14ac:dyDescent="0.3">
      <c r="A33" s="4">
        <v>10</v>
      </c>
      <c r="B33" s="1" t="s">
        <v>145</v>
      </c>
      <c r="D33" s="215">
        <f>10000/12</f>
        <v>833.33333333333337</v>
      </c>
      <c r="E33" s="252"/>
      <c r="J33" s="178"/>
      <c r="L33" s="175" t="s">
        <v>160</v>
      </c>
      <c r="M33" s="246">
        <v>12</v>
      </c>
      <c r="N33" s="259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146</v>
      </c>
      <c r="D34" s="215">
        <f>4200/12</f>
        <v>350</v>
      </c>
      <c r="E34" s="252"/>
      <c r="F34" s="77"/>
      <c r="J34" s="178"/>
      <c r="L34" s="77"/>
      <c r="M34" s="1">
        <v>12</v>
      </c>
      <c r="N34" s="215"/>
      <c r="O34" s="252">
        <f>N34/M34</f>
        <v>0</v>
      </c>
    </row>
    <row r="35" spans="1:15" x14ac:dyDescent="0.3">
      <c r="A35" s="3">
        <v>12</v>
      </c>
      <c r="B35" s="1" t="s">
        <v>147</v>
      </c>
      <c r="D35" s="215">
        <f>5200/12/2</f>
        <v>216.66666666666666</v>
      </c>
      <c r="E35" s="252"/>
      <c r="F35" s="77"/>
      <c r="G35" s="215"/>
      <c r="H35" s="215"/>
      <c r="I35" s="215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238">
        <v>13</v>
      </c>
      <c r="B36" s="180" t="s">
        <v>137</v>
      </c>
      <c r="C36" s="180"/>
      <c r="D36" s="253">
        <f>O30</f>
        <v>2733.3333333333335</v>
      </c>
      <c r="E36" s="220"/>
      <c r="F36" s="179"/>
      <c r="G36" s="253"/>
      <c r="H36" s="253"/>
      <c r="I36" s="253"/>
      <c r="J36" s="220"/>
      <c r="L36" s="77"/>
      <c r="M36" s="1">
        <v>12</v>
      </c>
      <c r="N36" s="215"/>
      <c r="O36" s="252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3" t="s">
        <v>163</v>
      </c>
      <c r="M37" s="232"/>
      <c r="N37" s="232"/>
      <c r="O37" s="214">
        <f>SUM(O33:O36)</f>
        <v>750</v>
      </c>
    </row>
    <row r="38" spans="1:15" x14ac:dyDescent="0.3">
      <c r="A38" s="3"/>
      <c r="B38" s="69" t="s">
        <v>165</v>
      </c>
      <c r="D38" s="215">
        <f>SUM(D24:D36)</f>
        <v>30343.333333333332</v>
      </c>
      <c r="E38" s="215"/>
      <c r="G38" s="69" t="s">
        <v>165</v>
      </c>
      <c r="H38" s="215"/>
      <c r="I38" s="215"/>
      <c r="J38" s="215">
        <f ca="1">SUM(J24:J36)</f>
        <v>4664</v>
      </c>
    </row>
    <row r="39" spans="1:15" ht="18" thickBot="1" x14ac:dyDescent="0.35">
      <c r="A39" s="239"/>
      <c r="B39" s="240" t="s">
        <v>148</v>
      </c>
      <c r="C39" s="242">
        <v>0.21299999999999999</v>
      </c>
      <c r="D39" s="254">
        <f>SUM(D38)*(1+C39)</f>
        <v>36806.463333333333</v>
      </c>
      <c r="E39" s="215"/>
      <c r="F39" s="263"/>
      <c r="G39" s="240" t="s">
        <v>148</v>
      </c>
      <c r="H39" s="240"/>
      <c r="I39" s="261">
        <v>15.5</v>
      </c>
      <c r="J39" s="262">
        <f ca="1">SUM(J38)*(1+I39)</f>
        <v>76956</v>
      </c>
      <c r="L39" s="1" t="s">
        <v>162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144</v>
      </c>
      <c r="M40" s="246">
        <v>12</v>
      </c>
      <c r="N40" s="259">
        <v>4200</v>
      </c>
      <c r="O40" s="219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161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7"/>
    </row>
    <row r="43" spans="1:15" ht="18" thickBot="1" x14ac:dyDescent="0.35">
      <c r="A43" s="4"/>
      <c r="B43" s="235" t="s">
        <v>166</v>
      </c>
      <c r="C43" s="6"/>
      <c r="D43" s="255">
        <f>D39+D41</f>
        <v>124806.46333333333</v>
      </c>
      <c r="E43" s="256"/>
      <c r="F43" s="215"/>
      <c r="G43" s="235" t="s">
        <v>166</v>
      </c>
      <c r="H43" s="6"/>
      <c r="I43" s="6"/>
      <c r="J43" s="255">
        <f ca="1">J39+J41</f>
        <v>103356</v>
      </c>
      <c r="L43" s="233" t="s">
        <v>164</v>
      </c>
      <c r="M43" s="232"/>
      <c r="N43" s="232"/>
      <c r="O43" s="214">
        <f>SUM(O40:O42)</f>
        <v>350</v>
      </c>
    </row>
    <row r="44" spans="1:15" ht="18" thickBot="1" x14ac:dyDescent="0.35">
      <c r="A44" s="4"/>
      <c r="B44" s="69"/>
      <c r="D44" s="256"/>
      <c r="E44" s="256"/>
    </row>
    <row r="45" spans="1:15" ht="18" thickBot="1" x14ac:dyDescent="0.35">
      <c r="A45" s="4"/>
      <c r="B45" s="236" t="s">
        <v>150</v>
      </c>
      <c r="C45" s="6"/>
      <c r="D45" s="257">
        <f>D43/4/5</f>
        <v>6240.323166666667</v>
      </c>
      <c r="E45" s="215"/>
      <c r="F45" s="95"/>
      <c r="G45" s="236" t="s">
        <v>150</v>
      </c>
      <c r="H45" s="6"/>
      <c r="I45" s="6"/>
      <c r="J45" s="257">
        <f ca="1">J43/4/5</f>
        <v>5167.8</v>
      </c>
    </row>
    <row r="46" spans="1:15" ht="18" thickBot="1" x14ac:dyDescent="0.35">
      <c r="A46" s="4"/>
      <c r="B46" s="89" t="s">
        <v>151</v>
      </c>
      <c r="C46" s="241"/>
      <c r="D46" s="258">
        <f>D45/8</f>
        <v>780.04039583333338</v>
      </c>
      <c r="E46" s="215"/>
      <c r="G46" s="89" t="s">
        <v>151</v>
      </c>
      <c r="H46" s="6"/>
      <c r="I46" s="6"/>
      <c r="J46" s="257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P151"/>
  <sheetViews>
    <sheetView tabSelected="1" topLeftCell="A10" zoomScaleNormal="100" workbookViewId="0">
      <selection activeCell="H18" sqref="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9" max="9" width="11.7109375" customWidth="1"/>
    <col min="12" max="12" width="24.42578125" bestFit="1" customWidth="1"/>
    <col min="13" max="13" width="23.140625" bestFit="1" customWidth="1"/>
    <col min="14" max="14" width="30.42578125" bestFit="1" customWidth="1"/>
    <col min="15" max="15" width="31.7109375" bestFit="1" customWidth="1"/>
    <col min="16" max="16" width="23.7109375" bestFit="1" customWidth="1"/>
  </cols>
  <sheetData>
    <row r="1" spans="1:15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  <c r="N1" s="1"/>
      <c r="O1" s="1"/>
    </row>
    <row r="2" spans="1:15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2"/>
      <c r="L2" s="2"/>
      <c r="M2" s="1"/>
      <c r="N2" s="1"/>
      <c r="O2" s="1"/>
    </row>
    <row r="3" spans="1:15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2"/>
      <c r="L3" s="2"/>
      <c r="M3" s="1"/>
      <c r="N3" s="1"/>
      <c r="O3" s="1"/>
    </row>
    <row r="4" spans="1:15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2"/>
      <c r="L4" s="2"/>
      <c r="M4" s="1"/>
      <c r="N4" s="1"/>
      <c r="O4" s="1"/>
    </row>
    <row r="5" spans="1:15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2"/>
      <c r="L5" s="2"/>
      <c r="M5" s="1"/>
      <c r="N5" s="1"/>
      <c r="O5" s="1"/>
    </row>
    <row r="6" spans="1:15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  <c r="N6" s="1"/>
      <c r="O6" s="1"/>
    </row>
    <row r="7" spans="1:15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2"/>
      <c r="L7" s="2"/>
      <c r="M7" s="1"/>
      <c r="N7" s="1"/>
      <c r="O7" s="1"/>
    </row>
    <row r="8" spans="1:15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2"/>
      <c r="L8" s="2"/>
      <c r="M8" s="1"/>
      <c r="N8" s="1"/>
      <c r="O8" s="1"/>
    </row>
    <row r="9" spans="1:15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J9" s="1"/>
      <c r="K9" s="1"/>
      <c r="M9" s="3"/>
      <c r="N9" s="1"/>
      <c r="O9" s="1"/>
    </row>
    <row r="10" spans="1:15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2"/>
      <c r="L10" s="2"/>
      <c r="M10" s="3"/>
      <c r="N10" s="1"/>
      <c r="O10" s="1"/>
    </row>
    <row r="11" spans="1:15" ht="21" thickBot="1" x14ac:dyDescent="0.35">
      <c r="A11" s="284" t="s">
        <v>12</v>
      </c>
      <c r="B11" s="285"/>
      <c r="C11" s="285"/>
      <c r="D11" s="285"/>
      <c r="E11" s="285"/>
      <c r="F11" s="285"/>
      <c r="G11" s="285"/>
      <c r="H11" s="286"/>
      <c r="I11" s="1"/>
      <c r="J11" s="1"/>
      <c r="K11" s="1"/>
      <c r="L11" s="1">
        <v>460</v>
      </c>
      <c r="M11" s="185"/>
      <c r="N11" s="1"/>
      <c r="O11" s="1"/>
    </row>
    <row r="12" spans="1:15" ht="18" thickBot="1" x14ac:dyDescent="0.35">
      <c r="A12" s="69"/>
      <c r="B12" s="69"/>
      <c r="C12" s="69"/>
      <c r="D12" s="69"/>
      <c r="E12" s="69"/>
      <c r="F12" s="69"/>
      <c r="G12" s="69"/>
      <c r="H12" s="69"/>
      <c r="M12" s="1"/>
      <c r="N12" s="1"/>
      <c r="O12" s="1"/>
    </row>
    <row r="13" spans="1:15" ht="18.75" x14ac:dyDescent="0.3">
      <c r="A13" s="287" t="s">
        <v>63</v>
      </c>
      <c r="B13" s="288"/>
      <c r="C13" s="289"/>
      <c r="D13" s="1"/>
      <c r="E13" s="4" t="s">
        <v>64</v>
      </c>
      <c r="F13" s="1"/>
      <c r="G13" s="1"/>
      <c r="H13" s="1"/>
      <c r="M13" s="1"/>
      <c r="N13" s="1"/>
      <c r="O13" s="1"/>
    </row>
    <row r="14" spans="1:15" ht="18" thickBot="1" x14ac:dyDescent="0.35">
      <c r="A14" s="290" t="s">
        <v>59</v>
      </c>
      <c r="B14" s="291"/>
      <c r="C14" s="291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L14" s="1"/>
      <c r="M14" s="1"/>
      <c r="O14" s="3"/>
    </row>
    <row r="15" spans="1:15" ht="18" thickBot="1" x14ac:dyDescent="0.35">
      <c r="A15" s="292" t="s">
        <v>77</v>
      </c>
      <c r="B15" s="293"/>
      <c r="C15" s="71"/>
      <c r="D15" s="71"/>
      <c r="E15" s="71"/>
      <c r="F15" s="76">
        <f>SUM(F16:F49)</f>
        <v>110.7</v>
      </c>
      <c r="G15" s="218">
        <f>SUM(G16:G42)</f>
        <v>13.8375</v>
      </c>
      <c r="H15" s="187">
        <f ca="1">SUM(H16:H42)</f>
        <v>74555</v>
      </c>
      <c r="I15" s="1"/>
      <c r="J15" s="1"/>
      <c r="K15" s="1"/>
      <c r="L15" s="277" t="s">
        <v>71</v>
      </c>
      <c r="M15" s="278"/>
      <c r="N15" s="279"/>
      <c r="O15" s="152">
        <f>G15</f>
        <v>13.8375</v>
      </c>
    </row>
    <row r="16" spans="1:15" ht="17.25" x14ac:dyDescent="0.3">
      <c r="A16" s="182" t="s">
        <v>172</v>
      </c>
      <c r="B16" s="283">
        <v>473</v>
      </c>
      <c r="C16" s="283"/>
      <c r="D16" s="60" t="s">
        <v>170</v>
      </c>
      <c r="E16" s="60">
        <f ca="1">IF(D16="Dewald", Employees!$G$19,IF(D16="Hannes",Employees!$G$19,IF(D16="Johan",Employees!$G$20,"")))</f>
        <v>650</v>
      </c>
      <c r="F16" s="3">
        <v>2</v>
      </c>
      <c r="G16" s="183">
        <f t="shared" ref="G16" si="0">IF(F16="","",F16/8)</f>
        <v>0.25</v>
      </c>
      <c r="H16" s="185">
        <f t="shared" ref="H16" ca="1" si="1">IF(E16="","",F16*E16)</f>
        <v>1300</v>
      </c>
      <c r="I16" s="215">
        <f ca="1">H16/B16</f>
        <v>2.7484143763213531</v>
      </c>
      <c r="J16" s="1">
        <f ca="1">SUM(I16:I19)/COUNT(I16:I19)</f>
        <v>17.177589852008456</v>
      </c>
      <c r="K16" s="1"/>
      <c r="O16" s="3"/>
    </row>
    <row r="17" spans="1:15" ht="17.25" x14ac:dyDescent="0.3">
      <c r="A17" s="182" t="s">
        <v>177</v>
      </c>
      <c r="B17" s="283"/>
      <c r="C17" s="283"/>
      <c r="D17" s="60" t="s">
        <v>170</v>
      </c>
      <c r="E17" s="60">
        <f ca="1">IF(D17="Dewald", Employees!$G$19,IF(D17="Hannes",Employees!$G$19,IF(D17="Johan",Employees!$G$20,"")))</f>
        <v>650</v>
      </c>
      <c r="F17" s="3">
        <f>8</f>
        <v>8</v>
      </c>
      <c r="G17" s="183">
        <f t="shared" ref="G17" si="2">IF(F17="","",F17/8)</f>
        <v>1</v>
      </c>
      <c r="H17" s="185">
        <f t="shared" ref="H17" ca="1" si="3">IF(E17="","",F17*E17)</f>
        <v>5200</v>
      </c>
      <c r="I17" s="215">
        <f ca="1">H17/B16</f>
        <v>10.993657505285412</v>
      </c>
      <c r="J17" s="1"/>
      <c r="K17" s="1"/>
      <c r="O17" s="3"/>
    </row>
    <row r="18" spans="1:15" ht="18" thickBot="1" x14ac:dyDescent="0.35">
      <c r="A18" s="1" t="s">
        <v>168</v>
      </c>
      <c r="B18" s="1"/>
      <c r="C18" s="1"/>
      <c r="D18" s="60" t="s">
        <v>170</v>
      </c>
      <c r="E18" s="60">
        <f ca="1">IF(D18="Dewald", Employees!$G$19,IF(D18="Hannes",Employees!$G$19,IF(D18="Johan",Employees!$G$20,"")))</f>
        <v>650</v>
      </c>
      <c r="F18" s="3">
        <f>2*8</f>
        <v>16</v>
      </c>
      <c r="G18" s="183">
        <f>IF(F18="","",F18/8)</f>
        <v>2</v>
      </c>
      <c r="H18" s="185">
        <f ca="1">IF(E18="","",F18*E18)</f>
        <v>10400</v>
      </c>
      <c r="I18" s="215">
        <f ca="1">H18/B16</f>
        <v>21.987315010570825</v>
      </c>
      <c r="J18" s="1"/>
      <c r="K18" s="1"/>
      <c r="O18" s="3"/>
    </row>
    <row r="19" spans="1:15" ht="18" thickBot="1" x14ac:dyDescent="0.35">
      <c r="A19" s="1" t="s">
        <v>169</v>
      </c>
      <c r="B19" s="1"/>
      <c r="C19" s="1"/>
      <c r="D19" s="60" t="s">
        <v>170</v>
      </c>
      <c r="E19" s="60">
        <f ca="1">IF(D19="Dewald", Employees!$G$19,IF(D19="Hannes",Employees!$G$19,IF(D19="Johan",Employees!$G$20,"")))</f>
        <v>650</v>
      </c>
      <c r="F19" s="3">
        <f>8*3</f>
        <v>24</v>
      </c>
      <c r="G19" s="183">
        <f>IF(F19="","",F19/8)</f>
        <v>3</v>
      </c>
      <c r="H19" s="185">
        <f ca="1">IF(E19="","",F19*E19)</f>
        <v>15600</v>
      </c>
      <c r="I19" s="215">
        <f ca="1">H19/B16</f>
        <v>32.980972515856237</v>
      </c>
      <c r="J19" s="1"/>
      <c r="K19" s="1"/>
      <c r="L19" s="280" t="s">
        <v>74</v>
      </c>
      <c r="M19" s="281"/>
      <c r="N19" s="282"/>
      <c r="O19" s="105">
        <f ca="1">H46/O15</f>
        <v>5387.8952122854562</v>
      </c>
    </row>
    <row r="20" spans="1:15" ht="17.25" x14ac:dyDescent="0.3">
      <c r="I20" s="1"/>
      <c r="J20" s="1"/>
      <c r="K20" s="1"/>
      <c r="O20" s="96"/>
    </row>
    <row r="21" spans="1:15" ht="17.25" x14ac:dyDescent="0.3">
      <c r="A21" s="182" t="s">
        <v>173</v>
      </c>
      <c r="B21" s="283">
        <v>244</v>
      </c>
      <c r="C21" s="283"/>
      <c r="D21" s="60" t="s">
        <v>170</v>
      </c>
      <c r="E21" s="60">
        <f ca="1">IF(D21="Dewald", Employees!$G$19,IF(D21="Hannes",Employees!$G$19,IF(D21="Johan",Employees!$G$20,"")))</f>
        <v>650</v>
      </c>
      <c r="F21" s="3">
        <v>1.5</v>
      </c>
      <c r="G21" s="183">
        <f>IF(F21="","",F21/8)</f>
        <v>0.1875</v>
      </c>
      <c r="H21" s="185">
        <f ca="1">IF(E21="","",F21*E21)</f>
        <v>975</v>
      </c>
      <c r="I21" s="215">
        <f ca="1">H21/B21</f>
        <v>3.9959016393442623</v>
      </c>
      <c r="J21" s="1">
        <f ca="1">SUM(I21:I24)/COUNT(I21:I24)</f>
        <v>8.9907786885245908</v>
      </c>
      <c r="K21" s="1"/>
      <c r="O21" s="96"/>
    </row>
    <row r="22" spans="1:15" ht="17.25" x14ac:dyDescent="0.3">
      <c r="A22" s="182" t="s">
        <v>177</v>
      </c>
      <c r="B22" s="265"/>
      <c r="C22" s="265"/>
      <c r="D22" s="60" t="s">
        <v>170</v>
      </c>
      <c r="E22" s="60">
        <f ca="1">IF(D22="Dewald", Employees!$G$19,IF(D22="Hannes",Employees!$G$19,IF(D22="Johan",Employees!$G$20,"")))</f>
        <v>650</v>
      </c>
      <c r="F22" s="3">
        <v>4</v>
      </c>
      <c r="G22" s="183">
        <f t="shared" ref="G22" si="4">IF(F22="","",F22/8)</f>
        <v>0.5</v>
      </c>
      <c r="H22" s="185">
        <f t="shared" ref="H22" ca="1" si="5">IF(E22="","",F22*E22)</f>
        <v>2600</v>
      </c>
      <c r="I22" s="215">
        <f ca="1">H22/B21</f>
        <v>10.655737704918034</v>
      </c>
      <c r="J22" s="1"/>
      <c r="K22" s="1"/>
      <c r="O22" s="96"/>
    </row>
    <row r="23" spans="1:15" ht="17.25" x14ac:dyDescent="0.3">
      <c r="A23" s="1" t="s">
        <v>168</v>
      </c>
      <c r="B23" s="1"/>
      <c r="C23" s="1"/>
      <c r="D23" s="60" t="s">
        <v>170</v>
      </c>
      <c r="E23" s="60">
        <f ca="1">IF(D23="Dewald", Employees!$G$19,IF(D23="Hannes",Employees!$G$19,IF(D23="Johan",Employees!$G$20,"")))</f>
        <v>650</v>
      </c>
      <c r="F23" s="3">
        <f>2</f>
        <v>2</v>
      </c>
      <c r="G23" s="183">
        <f>IF(F23="","",F23/8)</f>
        <v>0.25</v>
      </c>
      <c r="H23" s="185">
        <f ca="1">IF(E23="","",F23*E23)</f>
        <v>1300</v>
      </c>
      <c r="I23" s="215">
        <f ca="1">H23/B21</f>
        <v>5.3278688524590168</v>
      </c>
      <c r="J23" s="1"/>
      <c r="K23" s="1"/>
      <c r="O23" s="96"/>
    </row>
    <row r="24" spans="1:15" ht="17.25" x14ac:dyDescent="0.3">
      <c r="A24" s="1" t="s">
        <v>169</v>
      </c>
      <c r="B24" s="1"/>
      <c r="C24" s="1"/>
      <c r="D24" s="60" t="s">
        <v>170</v>
      </c>
      <c r="E24" s="60">
        <f ca="1">IF(D24="Dewald", Employees!$G$19,IF(D24="Hannes",Employees!$G$19,IF(D24="Johan",Employees!$G$20,"")))</f>
        <v>650</v>
      </c>
      <c r="F24" s="3">
        <v>6</v>
      </c>
      <c r="G24" s="183">
        <f>IF(F24="","",F24/8)</f>
        <v>0.75</v>
      </c>
      <c r="H24" s="185">
        <f ca="1">IF(E24="","",F24*E24)</f>
        <v>3900</v>
      </c>
      <c r="I24" s="215">
        <f ca="1">H24/B21</f>
        <v>15.983606557377049</v>
      </c>
      <c r="J24" s="1"/>
      <c r="K24" s="1"/>
      <c r="O24" s="96"/>
    </row>
    <row r="25" spans="1:15" ht="17.25" x14ac:dyDescent="0.3">
      <c r="I25" s="1"/>
      <c r="J25" s="1"/>
      <c r="K25" s="1"/>
      <c r="O25" s="96"/>
    </row>
    <row r="26" spans="1:15" ht="17.25" x14ac:dyDescent="0.3">
      <c r="A26" s="182" t="s">
        <v>174</v>
      </c>
      <c r="B26" s="283">
        <v>150</v>
      </c>
      <c r="C26" s="283"/>
      <c r="D26" s="60" t="s">
        <v>170</v>
      </c>
      <c r="E26" s="60">
        <f ca="1">IF(D26="Dewald", Employees!$G$19,IF(D26="Hannes",Employees!$G$19,IF(D26="Johan",Employees!$G$20,"")))</f>
        <v>650</v>
      </c>
      <c r="F26" s="3">
        <v>1.5</v>
      </c>
      <c r="G26" s="183">
        <f>IF(F26="","",F26/8)</f>
        <v>0.1875</v>
      </c>
      <c r="H26" s="185">
        <f ca="1">IF(E26="","",F26*E26)</f>
        <v>975</v>
      </c>
      <c r="I26" s="215">
        <f ca="1">H26/B26</f>
        <v>6.5</v>
      </c>
      <c r="J26" s="1">
        <f ca="1">SUM(I26:I29)/COUNT(I26:I29)</f>
        <v>13</v>
      </c>
      <c r="K26" s="1"/>
      <c r="O26" s="96"/>
    </row>
    <row r="27" spans="1:15" ht="17.25" x14ac:dyDescent="0.3">
      <c r="A27" s="182" t="s">
        <v>177</v>
      </c>
      <c r="B27" s="265"/>
      <c r="C27" s="265"/>
      <c r="D27" s="60" t="s">
        <v>170</v>
      </c>
      <c r="E27" s="60">
        <f ca="1">IF(D27="Dewald", Employees!$G$19,IF(D27="Hannes",Employees!$G$19,IF(D27="Johan",Employees!$G$20,"")))</f>
        <v>650</v>
      </c>
      <c r="F27" s="3">
        <f>3</f>
        <v>3</v>
      </c>
      <c r="G27" s="183">
        <f t="shared" ref="G27" si="6">IF(F27="","",F27/8)</f>
        <v>0.375</v>
      </c>
      <c r="H27" s="185">
        <f t="shared" ref="H27" ca="1" si="7">IF(E27="","",F27*E27)</f>
        <v>1950</v>
      </c>
      <c r="I27" s="215">
        <f ca="1">H27/B26</f>
        <v>13</v>
      </c>
      <c r="J27" s="1"/>
      <c r="K27" s="1"/>
      <c r="O27" s="96"/>
    </row>
    <row r="28" spans="1:15" ht="17.25" x14ac:dyDescent="0.3">
      <c r="A28" s="1" t="s">
        <v>168</v>
      </c>
      <c r="B28" s="1"/>
      <c r="C28" s="1"/>
      <c r="D28" s="60" t="s">
        <v>170</v>
      </c>
      <c r="E28" s="60">
        <f ca="1">IF(D28="Dewald", Employees!$G$19,IF(D28="Hannes",Employees!$G$19,IF(D28="Johan",Employees!$G$20,"")))</f>
        <v>650</v>
      </c>
      <c r="F28" s="3">
        <v>1.5</v>
      </c>
      <c r="G28" s="183">
        <f>IF(F28="","",F28/8)</f>
        <v>0.1875</v>
      </c>
      <c r="H28" s="185">
        <f ca="1">IF(E28="","",F28*E28)</f>
        <v>975</v>
      </c>
      <c r="I28" s="215">
        <f ca="1">H28/B26</f>
        <v>6.5</v>
      </c>
      <c r="J28" s="1"/>
      <c r="K28" s="1"/>
      <c r="O28" s="96"/>
    </row>
    <row r="29" spans="1:15" ht="17.25" x14ac:dyDescent="0.3">
      <c r="A29" s="1" t="s">
        <v>169</v>
      </c>
      <c r="B29" s="1"/>
      <c r="C29" s="1"/>
      <c r="D29" s="60" t="s">
        <v>170</v>
      </c>
      <c r="E29" s="60">
        <f ca="1">IF(D29="Dewald", Employees!$G$19,IF(D29="Hannes",Employees!$G$19,IF(D29="Johan",Employees!$G$20,"")))</f>
        <v>650</v>
      </c>
      <c r="F29" s="3">
        <v>6</v>
      </c>
      <c r="G29" s="183">
        <f>IF(F29="","",F29/8)</f>
        <v>0.75</v>
      </c>
      <c r="H29" s="185">
        <f ca="1">IF(E29="","",F29*E29)</f>
        <v>3900</v>
      </c>
      <c r="I29" s="215">
        <f ca="1">H29/B26</f>
        <v>26</v>
      </c>
      <c r="J29" s="1"/>
      <c r="K29" s="1"/>
      <c r="O29" s="96"/>
    </row>
    <row r="30" spans="1:15" ht="17.25" x14ac:dyDescent="0.3">
      <c r="I30" s="1"/>
      <c r="J30" s="1"/>
      <c r="K30" s="1"/>
      <c r="O30" s="96"/>
    </row>
    <row r="31" spans="1:15" ht="17.25" x14ac:dyDescent="0.3">
      <c r="A31" s="182" t="s">
        <v>175</v>
      </c>
      <c r="B31" s="283">
        <f>132*2</f>
        <v>264</v>
      </c>
      <c r="C31" s="283"/>
      <c r="D31" s="60" t="s">
        <v>170</v>
      </c>
      <c r="E31" s="60">
        <f ca="1">IF(D31="Dewald", Employees!$G$19,IF(D31="Hannes",Employees!$G$19,IF(D31="Johan",Employees!$G$20,"")))</f>
        <v>650</v>
      </c>
      <c r="F31" s="3">
        <v>1.2</v>
      </c>
      <c r="G31" s="183">
        <f t="shared" ref="G31:G32" si="8">IF(F31="","",F31/8)</f>
        <v>0.15</v>
      </c>
      <c r="H31" s="185">
        <f t="shared" ref="H31:H32" ca="1" si="9">IF(E31="","",F31*E31)</f>
        <v>780</v>
      </c>
      <c r="I31" s="215">
        <f ca="1">H31/(B31/2)</f>
        <v>5.9090909090909092</v>
      </c>
      <c r="J31" s="1">
        <f ca="1">SUM(I31:I34)/COUNT(I31:I34)</f>
        <v>19.327651515151516</v>
      </c>
      <c r="K31" s="1"/>
      <c r="O31" s="96"/>
    </row>
    <row r="32" spans="1:15" ht="17.25" x14ac:dyDescent="0.3">
      <c r="A32" s="182" t="s">
        <v>177</v>
      </c>
      <c r="B32" s="265"/>
      <c r="C32" s="265"/>
      <c r="D32" s="60" t="s">
        <v>170</v>
      </c>
      <c r="E32" s="60">
        <f ca="1">IF(D32="Dewald", Employees!$G$19,IF(D32="Hannes",Employees!$G$19,IF(D32="Johan",Employees!$G$20,"")))</f>
        <v>650</v>
      </c>
      <c r="F32" s="3">
        <v>2</v>
      </c>
      <c r="G32" s="183">
        <f t="shared" si="8"/>
        <v>0.25</v>
      </c>
      <c r="H32" s="185">
        <f t="shared" ca="1" si="9"/>
        <v>1300</v>
      </c>
      <c r="I32" s="215">
        <f ca="1">H32/(B31/2)</f>
        <v>9.8484848484848477</v>
      </c>
      <c r="J32" s="1"/>
      <c r="K32" s="1"/>
      <c r="O32" s="96"/>
    </row>
    <row r="33" spans="1:16" ht="17.25" x14ac:dyDescent="0.3">
      <c r="A33" s="1" t="s">
        <v>168</v>
      </c>
      <c r="B33" s="1"/>
      <c r="C33" s="1"/>
      <c r="D33" s="60" t="s">
        <v>170</v>
      </c>
      <c r="E33" s="60">
        <f ca="1">IF(D33="Dewald", Employees!$G$19,IF(D33="Hannes",Employees!$G$19,IF(D33="Johan",Employees!$G$20,"")))</f>
        <v>650</v>
      </c>
      <c r="F33" s="3">
        <f>2*8</f>
        <v>16</v>
      </c>
      <c r="G33" s="183">
        <f>IF(F33="","",F33/8)</f>
        <v>2</v>
      </c>
      <c r="H33" s="185">
        <f ca="1">IF(E33="","",F33*E33)</f>
        <v>10400</v>
      </c>
      <c r="I33" s="215">
        <f ca="1">H33/B31</f>
        <v>39.393939393939391</v>
      </c>
      <c r="J33" s="1"/>
      <c r="K33" s="1"/>
      <c r="O33" s="96"/>
    </row>
    <row r="34" spans="1:16" ht="17.25" x14ac:dyDescent="0.3">
      <c r="A34" s="1" t="s">
        <v>169</v>
      </c>
      <c r="B34" s="1"/>
      <c r="C34" s="1"/>
      <c r="D34" s="60" t="s">
        <v>170</v>
      </c>
      <c r="E34" s="60">
        <f ca="1">IF(D34="Dewald", Employees!$G$19,IF(D34="Hannes",Employees!$G$19,IF(D34="Johan",Employees!$G$20,"")))</f>
        <v>650</v>
      </c>
      <c r="F34" s="3">
        <f>9</f>
        <v>9</v>
      </c>
      <c r="G34" s="183">
        <f>IF(F34="","",F34/8)</f>
        <v>1.125</v>
      </c>
      <c r="H34" s="185">
        <f ca="1">IF(E34="","",F34*E34)</f>
        <v>5850</v>
      </c>
      <c r="I34" s="215">
        <f ca="1">H34/B31</f>
        <v>22.15909090909091</v>
      </c>
      <c r="J34" s="1"/>
      <c r="K34" s="1"/>
      <c r="O34" s="96"/>
    </row>
    <row r="35" spans="1:16" ht="17.25" x14ac:dyDescent="0.3">
      <c r="A35" s="182"/>
      <c r="B35" s="265"/>
      <c r="C35" s="265"/>
      <c r="D35" s="60"/>
      <c r="E35" s="60"/>
      <c r="F35" s="3"/>
      <c r="G35" s="183"/>
      <c r="H35" s="185"/>
      <c r="I35" s="1"/>
      <c r="J35" s="1"/>
      <c r="K35" s="1"/>
      <c r="O35" s="96"/>
    </row>
    <row r="36" spans="1:16" ht="17.25" x14ac:dyDescent="0.3">
      <c r="A36" s="182" t="s">
        <v>176</v>
      </c>
      <c r="B36" s="283">
        <v>68</v>
      </c>
      <c r="C36" s="283"/>
      <c r="D36" s="60" t="s">
        <v>170</v>
      </c>
      <c r="E36" s="60">
        <f ca="1">IF(D36="Dewald", Employees!$G$19,IF(D36="Hannes",Employees!$G$19,IF(D36="Johan",Employees!$G$20,"")))</f>
        <v>650</v>
      </c>
      <c r="F36" s="3">
        <v>1</v>
      </c>
      <c r="G36" s="183">
        <f t="shared" ref="G36:G37" si="10">IF(F36="","",F36/8)</f>
        <v>0.125</v>
      </c>
      <c r="H36" s="185">
        <f t="shared" ref="H36:H37" ca="1" si="11">IF(E36="","",F36*E36)</f>
        <v>650</v>
      </c>
      <c r="I36" s="215">
        <f ca="1">H36/B36</f>
        <v>9.5588235294117645</v>
      </c>
      <c r="J36" s="1">
        <f ca="1">SUM(I36:I39)/COUNT(I36:I39)</f>
        <v>16.727941176470587</v>
      </c>
      <c r="K36" s="1"/>
      <c r="O36" s="96"/>
    </row>
    <row r="37" spans="1:16" ht="17.25" x14ac:dyDescent="0.3">
      <c r="A37" s="182" t="s">
        <v>177</v>
      </c>
      <c r="B37" s="265"/>
      <c r="C37" s="265"/>
      <c r="D37" s="60" t="s">
        <v>170</v>
      </c>
      <c r="E37" s="60">
        <f ca="1">IF(D37="Dewald", Employees!$G$19,IF(D37="Hannes",Employees!$G$19,IF(D37="Johan",Employees!$G$20,"")))</f>
        <v>650</v>
      </c>
      <c r="F37" s="3">
        <v>1</v>
      </c>
      <c r="G37" s="183">
        <f t="shared" si="10"/>
        <v>0.125</v>
      </c>
      <c r="H37" s="185">
        <f t="shared" ca="1" si="11"/>
        <v>650</v>
      </c>
      <c r="I37" s="215">
        <f ca="1">H37/B36</f>
        <v>9.5588235294117645</v>
      </c>
      <c r="J37" s="1"/>
      <c r="K37" s="1"/>
      <c r="O37" s="96"/>
    </row>
    <row r="38" spans="1:16" ht="17.25" x14ac:dyDescent="0.3">
      <c r="A38" s="1" t="s">
        <v>168</v>
      </c>
      <c r="B38" s="1"/>
      <c r="C38" s="1"/>
      <c r="D38" s="60" t="s">
        <v>170</v>
      </c>
      <c r="E38" s="60">
        <f ca="1">IF(D38="Dewald", Employees!$G$19,IF(D38="Hannes",Employees!$G$19,IF(D38="Johan",Employees!$G$20,"")))</f>
        <v>650</v>
      </c>
      <c r="F38" s="3">
        <v>2</v>
      </c>
      <c r="G38" s="183">
        <f>IF(F38="","",F38/8)</f>
        <v>0.25</v>
      </c>
      <c r="H38" s="185">
        <f ca="1">IF(E38="","",F38*E38)</f>
        <v>1300</v>
      </c>
      <c r="I38" s="215">
        <f ca="1">H38/B36</f>
        <v>19.117647058823529</v>
      </c>
      <c r="J38" s="1"/>
      <c r="K38" s="1"/>
      <c r="O38" s="96"/>
    </row>
    <row r="39" spans="1:16" ht="17.25" x14ac:dyDescent="0.3">
      <c r="A39" s="1" t="s">
        <v>169</v>
      </c>
      <c r="B39" s="1"/>
      <c r="C39" s="1"/>
      <c r="D39" s="60" t="s">
        <v>170</v>
      </c>
      <c r="E39" s="60">
        <f ca="1">IF(D39="Dewald", Employees!$G$19,IF(D39="Hannes",Employees!$G$19,IF(D39="Johan",Employees!$G$20,"")))</f>
        <v>650</v>
      </c>
      <c r="F39" s="3">
        <v>3</v>
      </c>
      <c r="G39" s="183">
        <f>IF(F39="","",F39/8)</f>
        <v>0.375</v>
      </c>
      <c r="H39" s="185">
        <f ca="1">IF(E39="","",F39*E39)</f>
        <v>1950</v>
      </c>
      <c r="I39" s="215">
        <f ca="1">H39/B36</f>
        <v>28.676470588235293</v>
      </c>
      <c r="J39" s="1"/>
      <c r="K39" s="1"/>
      <c r="O39" s="96"/>
    </row>
    <row r="40" spans="1:16" ht="17.25" x14ac:dyDescent="0.3">
      <c r="A40" s="1"/>
      <c r="B40" s="1"/>
      <c r="C40" s="1"/>
      <c r="D40" s="60"/>
      <c r="E40" s="60"/>
      <c r="F40" s="3"/>
      <c r="G40" s="183"/>
      <c r="H40" s="185"/>
      <c r="I40" s="1"/>
      <c r="J40" s="1"/>
      <c r="K40" s="1"/>
      <c r="O40" s="96"/>
    </row>
    <row r="41" spans="1:16" ht="17.25" x14ac:dyDescent="0.3">
      <c r="A41" s="1"/>
      <c r="B41" s="1"/>
      <c r="C41" s="1"/>
      <c r="D41" s="60"/>
      <c r="E41" s="60"/>
      <c r="F41" s="3"/>
      <c r="G41" s="183"/>
      <c r="H41" s="185"/>
      <c r="I41" s="1"/>
      <c r="J41" s="1"/>
      <c r="K41" s="1"/>
      <c r="O41" s="96"/>
    </row>
    <row r="42" spans="1:16" ht="18" thickBot="1" x14ac:dyDescent="0.35">
      <c r="A42" s="1" t="s">
        <v>167</v>
      </c>
      <c r="B42" s="1"/>
      <c r="C42" s="1"/>
      <c r="D42" s="60"/>
      <c r="E42" s="60" t="str">
        <f>IF(D42="Dewald", Employees!$G$19,IF(D42="Hannes",Employees!$G$19,IF(D42="Johan",Employees!$G$20,"")))</f>
        <v/>
      </c>
      <c r="F42" s="185" t="str">
        <f>IF(C42="","",D42*C42)</f>
        <v/>
      </c>
      <c r="G42" s="183" t="str">
        <f>IF(F42="","",F42/8)</f>
        <v/>
      </c>
      <c r="H42" s="185">
        <v>2600</v>
      </c>
      <c r="I42" s="1"/>
      <c r="J42" s="1"/>
      <c r="K42" s="1"/>
    </row>
    <row r="43" spans="1:16" ht="18" thickBot="1" x14ac:dyDescent="0.35">
      <c r="G43" s="183" t="str">
        <f t="shared" ref="G43" si="12">IF(F43="","",F43/8)</f>
        <v/>
      </c>
      <c r="H43" s="159"/>
      <c r="I43" s="1"/>
      <c r="J43" s="1"/>
      <c r="K43" s="1"/>
      <c r="L43" s="100" t="s">
        <v>89</v>
      </c>
      <c r="M43" s="102" t="s">
        <v>83</v>
      </c>
      <c r="N43" s="103" t="s">
        <v>78</v>
      </c>
      <c r="O43" s="104" t="s">
        <v>81</v>
      </c>
      <c r="P43" s="101" t="s">
        <v>79</v>
      </c>
    </row>
    <row r="44" spans="1:16" ht="18" x14ac:dyDescent="0.3">
      <c r="A44" s="73"/>
      <c r="B44" s="73"/>
      <c r="D44" s="91"/>
      <c r="F44" s="91" t="s">
        <v>76</v>
      </c>
      <c r="G44" s="73"/>
      <c r="H44" s="184">
        <f ca="1">H15</f>
        <v>74555</v>
      </c>
      <c r="I44" s="1"/>
      <c r="J44" s="1"/>
      <c r="K44" s="1"/>
      <c r="L44" s="106">
        <f ca="1">H46</f>
        <v>74555</v>
      </c>
      <c r="M44" s="60">
        <f ca="1">L44*0.05</f>
        <v>3727.75</v>
      </c>
      <c r="N44" s="60">
        <f ca="1">L44-M44</f>
        <v>70827.25</v>
      </c>
      <c r="O44" s="106">
        <f ca="1">N44-P44</f>
        <v>41315.895833333328</v>
      </c>
      <c r="P44" s="108">
        <f ca="1">N44/2.4</f>
        <v>29511.354166666668</v>
      </c>
    </row>
    <row r="45" spans="1:16" ht="18.75" thickBot="1" x14ac:dyDescent="0.35">
      <c r="A45" s="73"/>
      <c r="B45" s="73"/>
      <c r="C45" s="73"/>
      <c r="F45" s="91" t="s">
        <v>75</v>
      </c>
      <c r="G45" s="74">
        <v>0</v>
      </c>
      <c r="H45" s="184">
        <f ca="1">H44*G45</f>
        <v>0</v>
      </c>
      <c r="I45" s="1"/>
      <c r="J45" s="1"/>
      <c r="K45" s="1"/>
      <c r="O45" s="96"/>
    </row>
    <row r="46" spans="1:16" ht="19.5" thickBot="1" x14ac:dyDescent="0.35">
      <c r="A46" s="1"/>
      <c r="B46" s="1"/>
      <c r="C46" s="1"/>
      <c r="D46" s="1"/>
      <c r="F46" s="134" t="s">
        <v>67</v>
      </c>
      <c r="G46" s="135"/>
      <c r="H46" s="186">
        <f ca="1">(H44-H45)</f>
        <v>74555</v>
      </c>
      <c r="I46" s="1"/>
      <c r="J46" s="1"/>
      <c r="K46" s="1"/>
      <c r="L46" s="99" t="s">
        <v>80</v>
      </c>
      <c r="M46" s="94"/>
      <c r="N46" s="94"/>
      <c r="O46" s="107">
        <f ca="1">O44*0.15</f>
        <v>6197.3843749999987</v>
      </c>
    </row>
    <row r="47" spans="1:16" ht="18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6" ht="18" thickBot="1" x14ac:dyDescent="0.35">
      <c r="A48" s="78"/>
      <c r="B48" s="78"/>
      <c r="C48" s="78"/>
      <c r="D48" s="78"/>
      <c r="E48" s="78"/>
      <c r="F48" s="78"/>
      <c r="G48" s="78"/>
      <c r="H48" s="78"/>
      <c r="I48" s="1"/>
      <c r="J48" s="1"/>
      <c r="K48" s="1"/>
      <c r="L48" s="98" t="s">
        <v>82</v>
      </c>
      <c r="M48" s="94"/>
      <c r="N48" s="94"/>
      <c r="O48" s="107">
        <f ca="1">O44-O46</f>
        <v>35118.511458333327</v>
      </c>
    </row>
    <row r="49" spans="1:15" ht="18" thickBot="1" x14ac:dyDescent="0.35">
      <c r="H49" s="159"/>
      <c r="I49" s="1"/>
      <c r="J49" s="1"/>
      <c r="K49" s="1"/>
    </row>
    <row r="50" spans="1:15" ht="19.5" thickBot="1" x14ac:dyDescent="0.35">
      <c r="A50" s="194" t="s">
        <v>69</v>
      </c>
      <c r="B50" s="147"/>
      <c r="C50" s="148"/>
      <c r="D50" s="1"/>
      <c r="E50" s="3"/>
      <c r="F50" s="1"/>
      <c r="G50" s="1"/>
      <c r="H50" s="1"/>
      <c r="I50" s="1"/>
      <c r="J50" s="1"/>
      <c r="K50" s="1"/>
      <c r="L50" s="1"/>
      <c r="M50" s="93"/>
      <c r="O50" s="96"/>
    </row>
    <row r="51" spans="1:15" ht="18" thickBot="1" x14ac:dyDescent="0.35">
      <c r="A51" s="130" t="s">
        <v>59</v>
      </c>
      <c r="B51" s="121"/>
      <c r="C51" s="121"/>
      <c r="D51" s="121"/>
      <c r="E51" s="121"/>
      <c r="F51" s="121"/>
      <c r="G51" s="199"/>
      <c r="H51" s="122"/>
    </row>
    <row r="52" spans="1:15" ht="18" thickBot="1" x14ac:dyDescent="0.35">
      <c r="I52" s="1"/>
      <c r="J52" s="1"/>
      <c r="K52" s="1"/>
      <c r="L52" s="161" t="s">
        <v>108</v>
      </c>
      <c r="M52" s="161" t="s">
        <v>109</v>
      </c>
      <c r="N52" s="161" t="s">
        <v>110</v>
      </c>
      <c r="O52" s="60"/>
    </row>
    <row r="53" spans="1:15" ht="18" thickBot="1" x14ac:dyDescent="0.35">
      <c r="A53" s="149" t="s">
        <v>77</v>
      </c>
      <c r="B53" s="150"/>
      <c r="C53" s="71"/>
      <c r="D53" s="121" t="s">
        <v>61</v>
      </c>
      <c r="E53" s="121" t="s">
        <v>68</v>
      </c>
      <c r="F53" s="121" t="s">
        <v>70</v>
      </c>
      <c r="G53" s="198"/>
      <c r="H53" s="187">
        <f>SUM(H54:H80)</f>
        <v>54906</v>
      </c>
      <c r="I53" s="1"/>
      <c r="J53" s="1"/>
      <c r="K53" s="1"/>
      <c r="L53" s="162" t="s">
        <v>105</v>
      </c>
      <c r="M53" s="163">
        <v>0.6</v>
      </c>
      <c r="N53" s="164">
        <f ca="1">L44*M53</f>
        <v>44733</v>
      </c>
    </row>
    <row r="54" spans="1:15" ht="17.25" x14ac:dyDescent="0.3">
      <c r="B54" s="182"/>
      <c r="C54" s="1"/>
      <c r="D54" s="60"/>
      <c r="E54" s="5"/>
      <c r="F54" s="1"/>
      <c r="G54" s="70"/>
      <c r="H54" s="185"/>
      <c r="I54" s="1"/>
      <c r="J54" s="1"/>
      <c r="K54" s="1"/>
      <c r="L54" s="162" t="s">
        <v>106</v>
      </c>
      <c r="M54" s="163">
        <v>0.32</v>
      </c>
      <c r="N54" s="164">
        <f ca="1">L44*M54</f>
        <v>23857.600000000002</v>
      </c>
    </row>
    <row r="55" spans="1:15" ht="18" thickBot="1" x14ac:dyDescent="0.35">
      <c r="A55" s="182" t="s">
        <v>172</v>
      </c>
      <c r="B55" s="182"/>
      <c r="C55" s="1"/>
      <c r="D55" s="60" t="s">
        <v>73</v>
      </c>
      <c r="E55" s="5">
        <v>5</v>
      </c>
      <c r="F55" s="1">
        <v>473</v>
      </c>
      <c r="G55" s="70"/>
      <c r="H55" s="185">
        <f t="shared" ref="H55:H56" si="13">F55*E55</f>
        <v>2365</v>
      </c>
      <c r="L55" s="165" t="s">
        <v>107</v>
      </c>
      <c r="M55" s="166">
        <v>0.08</v>
      </c>
      <c r="N55" s="167">
        <f ca="1">L44*M55</f>
        <v>5964.4000000000005</v>
      </c>
      <c r="O55" s="1"/>
    </row>
    <row r="56" spans="1:15" ht="18" thickBot="1" x14ac:dyDescent="0.35">
      <c r="A56" s="182" t="s">
        <v>171</v>
      </c>
      <c r="B56" s="182"/>
      <c r="C56" s="1"/>
      <c r="D56" s="60" t="s">
        <v>73</v>
      </c>
      <c r="E56" s="5">
        <v>10</v>
      </c>
      <c r="F56" s="1">
        <v>473</v>
      </c>
      <c r="G56" s="70"/>
      <c r="H56" s="185">
        <f t="shared" si="13"/>
        <v>4730</v>
      </c>
      <c r="L56" s="168" t="s">
        <v>3</v>
      </c>
      <c r="M56" s="169">
        <f>SUM(M53:M55)</f>
        <v>0.99999999999999989</v>
      </c>
      <c r="N56" s="160">
        <f ca="1">SUM(N53:N55)</f>
        <v>74555</v>
      </c>
      <c r="O56" s="1"/>
    </row>
    <row r="57" spans="1:15" ht="17.25" x14ac:dyDescent="0.3">
      <c r="A57" s="1" t="s">
        <v>168</v>
      </c>
      <c r="B57" s="182"/>
      <c r="D57" s="60" t="s">
        <v>73</v>
      </c>
      <c r="E57" s="5">
        <v>15</v>
      </c>
      <c r="F57" s="1">
        <v>473</v>
      </c>
      <c r="G57" s="1"/>
      <c r="H57" s="185">
        <f>F57*E57</f>
        <v>7095</v>
      </c>
      <c r="O57" s="1"/>
    </row>
    <row r="58" spans="1:15" ht="17.25" x14ac:dyDescent="0.3">
      <c r="A58" s="1" t="s">
        <v>169</v>
      </c>
      <c r="B58" s="182"/>
      <c r="D58" s="60" t="s">
        <v>73</v>
      </c>
      <c r="E58" s="5">
        <v>12</v>
      </c>
      <c r="F58" s="1">
        <v>473</v>
      </c>
      <c r="G58" s="1"/>
      <c r="H58" s="185">
        <f>F58*E58</f>
        <v>5676</v>
      </c>
      <c r="O58" s="1"/>
    </row>
    <row r="59" spans="1:15" ht="17.25" x14ac:dyDescent="0.3">
      <c r="B59" s="182"/>
      <c r="D59" s="60"/>
      <c r="E59" s="5"/>
      <c r="F59" s="1"/>
      <c r="G59" s="1"/>
      <c r="H59" s="185"/>
      <c r="O59" s="1"/>
    </row>
    <row r="60" spans="1:15" ht="17.25" x14ac:dyDescent="0.3">
      <c r="A60" s="182" t="s">
        <v>173</v>
      </c>
      <c r="B60" s="182"/>
      <c r="D60" s="60" t="s">
        <v>73</v>
      </c>
      <c r="E60" s="5">
        <v>5</v>
      </c>
      <c r="F60" s="1">
        <v>244</v>
      </c>
      <c r="G60" s="1"/>
      <c r="H60" s="185">
        <f>F60*E60</f>
        <v>1220</v>
      </c>
      <c r="O60" s="1"/>
    </row>
    <row r="61" spans="1:15" ht="17.25" x14ac:dyDescent="0.3">
      <c r="A61" s="182" t="s">
        <v>171</v>
      </c>
      <c r="B61" s="182"/>
      <c r="D61" s="60" t="s">
        <v>73</v>
      </c>
      <c r="E61" s="5">
        <v>10</v>
      </c>
      <c r="F61" s="1">
        <v>244</v>
      </c>
      <c r="G61" s="1"/>
      <c r="H61" s="185">
        <f t="shared" ref="H61:H78" si="14">F61*E61</f>
        <v>2440</v>
      </c>
      <c r="O61" s="1"/>
    </row>
    <row r="62" spans="1:15" ht="17.25" x14ac:dyDescent="0.3">
      <c r="A62" s="1" t="s">
        <v>168</v>
      </c>
      <c r="B62" s="182"/>
      <c r="D62" s="60" t="s">
        <v>73</v>
      </c>
      <c r="E62" s="5">
        <v>5</v>
      </c>
      <c r="F62" s="1">
        <v>244</v>
      </c>
      <c r="G62" s="1"/>
      <c r="H62" s="185">
        <f t="shared" si="14"/>
        <v>1220</v>
      </c>
      <c r="O62" s="1"/>
    </row>
    <row r="63" spans="1:15" ht="17.25" x14ac:dyDescent="0.3">
      <c r="A63" s="1" t="s">
        <v>169</v>
      </c>
      <c r="B63" s="182"/>
      <c r="D63" s="60" t="s">
        <v>73</v>
      </c>
      <c r="E63" s="5">
        <v>10</v>
      </c>
      <c r="F63" s="1">
        <v>244</v>
      </c>
      <c r="G63" s="1"/>
      <c r="H63" s="185">
        <f t="shared" si="14"/>
        <v>2440</v>
      </c>
      <c r="O63" s="1"/>
    </row>
    <row r="64" spans="1:15" ht="17.25" x14ac:dyDescent="0.3">
      <c r="B64" s="182"/>
      <c r="D64" s="60"/>
      <c r="E64" s="5"/>
      <c r="F64" s="1"/>
      <c r="G64" s="1"/>
      <c r="H64" s="185"/>
      <c r="O64" s="1"/>
    </row>
    <row r="65" spans="1:15" ht="17.25" x14ac:dyDescent="0.3">
      <c r="A65" s="182" t="s">
        <v>174</v>
      </c>
      <c r="B65" s="182"/>
      <c r="D65" s="60" t="s">
        <v>73</v>
      </c>
      <c r="E65" s="5">
        <v>10</v>
      </c>
      <c r="F65" s="1">
        <v>150</v>
      </c>
      <c r="G65" s="1"/>
      <c r="H65" s="185">
        <f t="shared" si="14"/>
        <v>1500</v>
      </c>
      <c r="O65" s="1"/>
    </row>
    <row r="66" spans="1:15" ht="17.25" x14ac:dyDescent="0.3">
      <c r="A66" s="182" t="s">
        <v>171</v>
      </c>
      <c r="B66" s="182"/>
      <c r="D66" s="60" t="s">
        <v>73</v>
      </c>
      <c r="E66" s="5">
        <v>10</v>
      </c>
      <c r="F66" s="1">
        <v>150</v>
      </c>
      <c r="G66" s="1"/>
      <c r="H66" s="185">
        <f t="shared" si="14"/>
        <v>1500</v>
      </c>
      <c r="O66" s="1"/>
    </row>
    <row r="67" spans="1:15" ht="17.25" x14ac:dyDescent="0.3">
      <c r="A67" s="1" t="s">
        <v>168</v>
      </c>
      <c r="B67" s="182"/>
      <c r="D67" s="60" t="s">
        <v>73</v>
      </c>
      <c r="E67" s="5">
        <v>10</v>
      </c>
      <c r="F67" s="1">
        <v>150</v>
      </c>
      <c r="G67" s="1"/>
      <c r="H67" s="185">
        <f t="shared" si="14"/>
        <v>1500</v>
      </c>
      <c r="O67" s="1"/>
    </row>
    <row r="68" spans="1:15" ht="17.25" x14ac:dyDescent="0.3">
      <c r="A68" s="1" t="s">
        <v>169</v>
      </c>
      <c r="B68" s="182"/>
      <c r="D68" s="60" t="s">
        <v>73</v>
      </c>
      <c r="E68" s="5">
        <v>20</v>
      </c>
      <c r="F68" s="1">
        <v>150</v>
      </c>
      <c r="G68" s="1"/>
      <c r="H68" s="185">
        <f t="shared" si="14"/>
        <v>3000</v>
      </c>
      <c r="O68" s="1"/>
    </row>
    <row r="69" spans="1:15" ht="17.25" x14ac:dyDescent="0.3">
      <c r="B69" s="182"/>
      <c r="D69" s="60"/>
      <c r="E69" s="5"/>
      <c r="F69" s="1"/>
      <c r="G69" s="1"/>
      <c r="H69" s="185"/>
      <c r="O69" s="1"/>
    </row>
    <row r="70" spans="1:15" ht="17.25" x14ac:dyDescent="0.3">
      <c r="A70" s="182" t="s">
        <v>175</v>
      </c>
      <c r="B70" s="182"/>
      <c r="D70" s="60" t="s">
        <v>73</v>
      </c>
      <c r="E70" s="5">
        <v>10</v>
      </c>
      <c r="F70" s="1">
        <v>132</v>
      </c>
      <c r="G70" s="1"/>
      <c r="H70" s="185">
        <f t="shared" si="14"/>
        <v>1320</v>
      </c>
      <c r="O70" s="1"/>
    </row>
    <row r="71" spans="1:15" ht="17.25" x14ac:dyDescent="0.3">
      <c r="A71" s="182" t="s">
        <v>171</v>
      </c>
      <c r="B71" s="182"/>
      <c r="D71" s="60" t="s">
        <v>73</v>
      </c>
      <c r="E71" s="5">
        <v>10</v>
      </c>
      <c r="F71" s="1">
        <v>132</v>
      </c>
      <c r="G71" s="1"/>
      <c r="H71" s="185">
        <f t="shared" si="14"/>
        <v>1320</v>
      </c>
      <c r="O71" s="1"/>
    </row>
    <row r="72" spans="1:15" ht="17.25" x14ac:dyDescent="0.3">
      <c r="A72" s="1" t="s">
        <v>168</v>
      </c>
      <c r="B72" s="182"/>
      <c r="D72" s="60" t="s">
        <v>73</v>
      </c>
      <c r="E72" s="5">
        <v>30</v>
      </c>
      <c r="F72" s="1">
        <v>132</v>
      </c>
      <c r="G72" s="1"/>
      <c r="H72" s="185">
        <f t="shared" si="14"/>
        <v>3960</v>
      </c>
      <c r="O72" s="1"/>
    </row>
    <row r="73" spans="1:15" ht="17.25" x14ac:dyDescent="0.3">
      <c r="A73" s="1" t="s">
        <v>169</v>
      </c>
      <c r="B73" s="182"/>
      <c r="D73" s="60" t="s">
        <v>73</v>
      </c>
      <c r="E73" s="5">
        <v>50</v>
      </c>
      <c r="F73" s="1">
        <v>132</v>
      </c>
      <c r="G73" s="1"/>
      <c r="H73" s="185">
        <f t="shared" si="14"/>
        <v>6600</v>
      </c>
      <c r="O73" s="1"/>
    </row>
    <row r="74" spans="1:15" ht="17.25" x14ac:dyDescent="0.3">
      <c r="A74" s="182"/>
      <c r="B74" s="182"/>
      <c r="D74" s="60"/>
      <c r="E74" s="5"/>
      <c r="F74" s="1"/>
      <c r="G74" s="1"/>
      <c r="H74" s="185"/>
      <c r="O74" s="1"/>
    </row>
    <row r="75" spans="1:15" ht="17.25" x14ac:dyDescent="0.3">
      <c r="A75" s="182" t="s">
        <v>176</v>
      </c>
      <c r="B75" s="182"/>
      <c r="D75" s="60" t="s">
        <v>73</v>
      </c>
      <c r="E75" s="5">
        <v>15</v>
      </c>
      <c r="F75" s="1">
        <v>68</v>
      </c>
      <c r="G75" s="1"/>
      <c r="H75" s="185">
        <f t="shared" si="14"/>
        <v>1020</v>
      </c>
      <c r="O75" s="1"/>
    </row>
    <row r="76" spans="1:15" ht="17.25" x14ac:dyDescent="0.3">
      <c r="A76" s="182" t="s">
        <v>171</v>
      </c>
      <c r="B76" s="182"/>
      <c r="D76" s="60" t="s">
        <v>73</v>
      </c>
      <c r="E76" s="5">
        <v>15</v>
      </c>
      <c r="F76" s="1">
        <v>68</v>
      </c>
      <c r="G76" s="1"/>
      <c r="H76" s="185">
        <f t="shared" si="14"/>
        <v>1020</v>
      </c>
      <c r="O76" s="1"/>
    </row>
    <row r="77" spans="1:15" ht="17.25" x14ac:dyDescent="0.3">
      <c r="A77" s="1" t="s">
        <v>168</v>
      </c>
      <c r="B77" s="182"/>
      <c r="D77" s="60" t="s">
        <v>73</v>
      </c>
      <c r="E77" s="5">
        <v>15</v>
      </c>
      <c r="F77" s="1">
        <v>68</v>
      </c>
      <c r="G77" s="1"/>
      <c r="H77" s="185">
        <f t="shared" si="14"/>
        <v>1020</v>
      </c>
      <c r="O77" s="1"/>
    </row>
    <row r="78" spans="1:15" ht="17.25" x14ac:dyDescent="0.3">
      <c r="A78" s="1" t="s">
        <v>169</v>
      </c>
      <c r="D78" s="60" t="s">
        <v>73</v>
      </c>
      <c r="E78" s="5">
        <v>20</v>
      </c>
      <c r="F78" s="1">
        <v>68</v>
      </c>
      <c r="H78" s="185">
        <f t="shared" si="14"/>
        <v>1360</v>
      </c>
      <c r="O78" s="1"/>
    </row>
    <row r="79" spans="1:15" ht="17.25" x14ac:dyDescent="0.3">
      <c r="A79" s="1"/>
      <c r="O79" s="1"/>
    </row>
    <row r="80" spans="1:15" ht="17.25" x14ac:dyDescent="0.3">
      <c r="A80" s="1" t="s">
        <v>167</v>
      </c>
      <c r="B80" s="1"/>
      <c r="C80" s="1"/>
      <c r="D80" s="60"/>
      <c r="E80" s="60" t="str">
        <f>IF(D80="Dewald", Employees!$G$19,IF(D80="Hannes",Employees!$G$19,IF(D80="Johan",Employees!$G$20,"")))</f>
        <v/>
      </c>
      <c r="F80" s="185" t="str">
        <f>IF(C80="","",D80*C80)</f>
        <v/>
      </c>
      <c r="G80" s="183" t="str">
        <f>IF(F80="","",F80/8)</f>
        <v/>
      </c>
      <c r="H80" s="185">
        <v>2600</v>
      </c>
      <c r="O80" s="1"/>
    </row>
    <row r="81" spans="1:15" ht="17.25" x14ac:dyDescent="0.3">
      <c r="A81" s="1"/>
      <c r="O81" s="1"/>
    </row>
    <row r="82" spans="1:15" ht="18" x14ac:dyDescent="0.3">
      <c r="A82" s="73"/>
      <c r="C82" s="73"/>
      <c r="D82" s="73"/>
      <c r="F82" s="91" t="s">
        <v>113</v>
      </c>
      <c r="G82" s="73"/>
      <c r="H82" s="184">
        <f>H53</f>
        <v>54906</v>
      </c>
      <c r="L82" s="159"/>
      <c r="O82" s="1"/>
    </row>
    <row r="83" spans="1:15" ht="18.75" thickBot="1" x14ac:dyDescent="0.35">
      <c r="A83" s="73"/>
      <c r="B83" s="73"/>
      <c r="C83" s="73"/>
      <c r="E83" s="133"/>
      <c r="F83" s="91" t="s">
        <v>75</v>
      </c>
      <c r="G83" s="74">
        <v>0</v>
      </c>
      <c r="H83" s="4"/>
      <c r="L83" s="159"/>
      <c r="O83" s="1"/>
    </row>
    <row r="84" spans="1:15" ht="19.5" thickBot="1" x14ac:dyDescent="0.35">
      <c r="A84" s="1"/>
      <c r="B84" s="1"/>
      <c r="C84" s="1"/>
      <c r="D84" s="1"/>
      <c r="E84" s="1"/>
      <c r="F84" s="1"/>
      <c r="G84" s="75" t="s">
        <v>67</v>
      </c>
      <c r="H84" s="186">
        <f>H82</f>
        <v>54906</v>
      </c>
      <c r="N84" s="1"/>
      <c r="O84" s="93"/>
    </row>
    <row r="85" spans="1:15" ht="17.25" x14ac:dyDescent="0.3">
      <c r="A85" s="1"/>
      <c r="B85" s="1"/>
      <c r="C85" s="1"/>
      <c r="D85" s="1"/>
      <c r="E85" s="1"/>
      <c r="F85" s="1"/>
      <c r="G85" s="1"/>
      <c r="H85" s="1"/>
    </row>
    <row r="86" spans="1:15" ht="17.25" x14ac:dyDescent="0.3">
      <c r="A86" s="78"/>
      <c r="B86" s="78"/>
      <c r="C86" s="78"/>
      <c r="D86" s="78"/>
      <c r="E86" s="78"/>
      <c r="F86" s="78"/>
      <c r="G86" s="78"/>
      <c r="H86" s="78"/>
      <c r="L86" s="5"/>
      <c r="M86" s="5"/>
      <c r="O86" s="1"/>
    </row>
    <row r="87" spans="1:15" ht="18" thickBot="1" x14ac:dyDescent="0.35">
      <c r="N87" s="1"/>
      <c r="O87" s="1"/>
    </row>
    <row r="88" spans="1:15" ht="19.5" thickBot="1" x14ac:dyDescent="0.35">
      <c r="A88" s="195" t="s">
        <v>65</v>
      </c>
      <c r="B88" s="196"/>
      <c r="C88" s="197"/>
      <c r="D88" s="1"/>
      <c r="E88" s="1"/>
      <c r="F88" s="1"/>
      <c r="G88" s="1"/>
      <c r="H88" s="1"/>
      <c r="L88" t="s">
        <v>101</v>
      </c>
      <c r="M88" t="s">
        <v>102</v>
      </c>
      <c r="N88" t="s">
        <v>103</v>
      </c>
      <c r="O88" t="s">
        <v>104</v>
      </c>
    </row>
    <row r="89" spans="1:15" ht="18" thickBot="1" x14ac:dyDescent="0.35">
      <c r="A89" s="130" t="s">
        <v>13</v>
      </c>
      <c r="B89" s="121"/>
      <c r="C89" s="121"/>
      <c r="D89" s="191"/>
      <c r="E89" s="192"/>
      <c r="F89" s="121" t="s">
        <v>68</v>
      </c>
      <c r="G89" s="192" t="s">
        <v>14</v>
      </c>
      <c r="H89" s="193" t="s">
        <v>87</v>
      </c>
      <c r="L89" s="153" t="s">
        <v>93</v>
      </c>
      <c r="M89" s="158">
        <v>20000</v>
      </c>
      <c r="N89" s="92">
        <v>1</v>
      </c>
      <c r="O89" s="155">
        <f t="shared" ref="O89:O96" si="15">M89*N89</f>
        <v>20000</v>
      </c>
    </row>
    <row r="90" spans="1:15" ht="17.25" x14ac:dyDescent="0.3">
      <c r="A90" s="14"/>
      <c r="B90" s="14"/>
      <c r="C90" s="14"/>
      <c r="D90" s="14"/>
      <c r="E90" s="151"/>
      <c r="F90" s="151"/>
      <c r="G90" s="124"/>
      <c r="H90" s="151"/>
      <c r="L90" s="118" t="s">
        <v>94</v>
      </c>
      <c r="M90" s="159">
        <v>3000</v>
      </c>
      <c r="N90">
        <v>4</v>
      </c>
      <c r="O90" s="156">
        <f t="shared" si="15"/>
        <v>12000</v>
      </c>
    </row>
    <row r="91" spans="1:15" ht="17.25" x14ac:dyDescent="0.3">
      <c r="A91" s="1" t="s">
        <v>129</v>
      </c>
      <c r="B91" s="61"/>
      <c r="C91" s="4"/>
      <c r="D91" s="1"/>
      <c r="E91" s="60"/>
      <c r="F91" s="60">
        <v>8000</v>
      </c>
      <c r="G91" s="3">
        <v>150</v>
      </c>
      <c r="H91" s="60">
        <f>G91*F91</f>
        <v>1200000</v>
      </c>
      <c r="L91" s="118" t="s">
        <v>95</v>
      </c>
      <c r="M91" s="159">
        <v>5000</v>
      </c>
      <c r="N91">
        <v>2</v>
      </c>
      <c r="O91" s="156">
        <f t="shared" si="15"/>
        <v>10000</v>
      </c>
    </row>
    <row r="92" spans="1:15" ht="17.25" x14ac:dyDescent="0.3">
      <c r="A92" s="1"/>
      <c r="B92" s="61"/>
      <c r="F92" s="60"/>
      <c r="G92" s="3"/>
      <c r="H92" s="60"/>
      <c r="L92" s="118" t="s">
        <v>96</v>
      </c>
      <c r="M92" s="159">
        <v>8000</v>
      </c>
      <c r="N92">
        <v>1</v>
      </c>
      <c r="O92" s="156">
        <f t="shared" si="15"/>
        <v>8000</v>
      </c>
    </row>
    <row r="93" spans="1:15" ht="17.25" x14ac:dyDescent="0.3">
      <c r="A93" s="1"/>
      <c r="L93" s="118" t="s">
        <v>100</v>
      </c>
      <c r="M93" s="159">
        <v>5000</v>
      </c>
      <c r="N93">
        <v>1</v>
      </c>
      <c r="O93" s="156">
        <f t="shared" si="15"/>
        <v>5000</v>
      </c>
    </row>
    <row r="94" spans="1:15" ht="18" thickBot="1" x14ac:dyDescent="0.35">
      <c r="A94" s="1"/>
      <c r="B94" s="1"/>
      <c r="C94" s="1"/>
      <c r="D94" s="1" t="s">
        <v>128</v>
      </c>
      <c r="E94" s="60"/>
      <c r="F94" s="60"/>
      <c r="G94" s="3"/>
      <c r="H94" s="60"/>
      <c r="L94" s="118" t="s">
        <v>97</v>
      </c>
      <c r="M94" s="159">
        <v>2000</v>
      </c>
      <c r="N94">
        <v>1</v>
      </c>
      <c r="O94" s="156">
        <f t="shared" si="15"/>
        <v>2000</v>
      </c>
    </row>
    <row r="95" spans="1:15" ht="18" thickBot="1" x14ac:dyDescent="0.35">
      <c r="A95" s="1"/>
      <c r="B95" s="1"/>
      <c r="C95" s="1"/>
      <c r="D95" s="1"/>
      <c r="E95" s="120"/>
      <c r="F95" s="62" t="s">
        <v>3</v>
      </c>
      <c r="G95" s="63">
        <f>SUM(G90:G93)</f>
        <v>150</v>
      </c>
      <c r="H95" s="97">
        <f>SUM(H90:H94)</f>
        <v>1200000</v>
      </c>
      <c r="L95" s="118" t="s">
        <v>98</v>
      </c>
      <c r="M95" s="159">
        <v>7000</v>
      </c>
      <c r="N95">
        <v>1</v>
      </c>
      <c r="O95" s="156">
        <f t="shared" si="15"/>
        <v>7000</v>
      </c>
    </row>
    <row r="96" spans="1:15" ht="15.75" thickBot="1" x14ac:dyDescent="0.3">
      <c r="L96" s="118" t="s">
        <v>99</v>
      </c>
      <c r="M96" s="159">
        <v>15000</v>
      </c>
      <c r="N96">
        <v>1</v>
      </c>
      <c r="O96" s="156">
        <f t="shared" si="15"/>
        <v>15000</v>
      </c>
    </row>
    <row r="97" spans="1:15" ht="19.5" thickBot="1" x14ac:dyDescent="0.35">
      <c r="A97" s="205" t="s">
        <v>35</v>
      </c>
      <c r="B97" s="200"/>
      <c r="C97" s="200"/>
      <c r="D97" s="200"/>
      <c r="E97" s="273">
        <f>H95</f>
        <v>1200000</v>
      </c>
      <c r="F97" s="274"/>
      <c r="G97" s="274"/>
      <c r="H97" s="275"/>
      <c r="I97" s="1"/>
      <c r="J97" s="1"/>
      <c r="K97" s="1"/>
      <c r="L97" s="154"/>
      <c r="M97" s="119"/>
      <c r="N97" s="119"/>
      <c r="O97" s="157">
        <f>SUM(O89:O96)</f>
        <v>79000</v>
      </c>
    </row>
    <row r="98" spans="1:15" ht="18.75" x14ac:dyDescent="0.3">
      <c r="A98" s="202" t="s">
        <v>84</v>
      </c>
      <c r="B98" s="201"/>
      <c r="C98" s="201"/>
      <c r="D98" s="201"/>
      <c r="E98" s="276" t="s">
        <v>130</v>
      </c>
      <c r="F98" s="276"/>
      <c r="G98" s="276"/>
      <c r="H98" s="276"/>
    </row>
    <row r="99" spans="1:15" ht="15.75" thickBot="1" x14ac:dyDescent="0.3"/>
    <row r="100" spans="1:15" ht="20.25" thickBot="1" x14ac:dyDescent="0.3">
      <c r="A100" s="204" t="s">
        <v>44</v>
      </c>
      <c r="B100" s="59"/>
      <c r="C100" s="59"/>
      <c r="D100" s="59"/>
      <c r="E100" s="59"/>
      <c r="F100" s="59"/>
      <c r="G100" s="59"/>
      <c r="H100" s="129"/>
    </row>
    <row r="102" spans="1:15" ht="17.25" x14ac:dyDescent="0.25">
      <c r="A102" s="126" t="s">
        <v>21</v>
      </c>
      <c r="B102" s="127"/>
      <c r="C102" s="127"/>
      <c r="D102" s="128"/>
      <c r="E102" s="207">
        <f>IF($E$98="Medium",IF($E$97&gt;Data!D48,IF($E$97&gt;Data!D49,IF($E$97&gt;Data!D50,IF($E$97&gt;Data!D51,IF($E$97&gt;Data!D52,IF($E$97&gt;Data!D53,IF($E$97&gt;Data!D54,IF($E$97&gt;Data!D55,IF($E$97&gt;Data!D56,IF($E$97&gt;Data!D57,IF($E$97&gt;Data!D58,Data!E59,Data!E58),Data!E57),Data!E56),Data!E55),Data!E54),Data!E53),Data!E52),Data!E51),Data!E50),Data!E49),Data!E48),IF($E$98="High",(IF($E$97&gt;Data!D29,IF($E$97&gt;Data!D30,IF($E$97&gt;Data!D31,IF($E$97&gt;Data!D32,IF($E$97&gt;Data!D33,IF($E$97&gt;Data!D34,IF($E$97&gt;Data!D35,IF($E$97&gt;Data!D36,IF($E$97&gt;Data!D37,IF($E$97&gt;Data!D38,IF($E$97&gt;Data!D39,Data!E40,Data!E39),Data!E37),Data!E36),Data!E35),Data!E34),Data!E33),Data!E52),Data!E32),Data!E31),Data!E30),Data!E29)),IF($E$98="Low",(IF($E$97&gt;Data!D67,IF($E$97&gt;Data!D68,IF($E$97&gt;Data!D69,IF($E$97&gt;Data!D70,IF($E$97&gt;Data!D71,IF($E$97&gt;Data!D72,IF($E$97&gt;Data!D73,IF($E$97&gt;Data!D74,IF($E$97&gt;Data!D75,IF($E$97&gt;Data!D76,IF($E$97&gt;Data!D77,Data!E78,Data!E77),Data!E76),Data!E75),Data!E74),Data!E73),Data!E72),Data!E71),Data!E70),Data!E69),Data!E68),Data!E67)))))</f>
        <v>89897.22</v>
      </c>
      <c r="F102" s="131"/>
      <c r="G102" s="131"/>
      <c r="H102" s="132"/>
    </row>
    <row r="103" spans="1:15" ht="17.25" x14ac:dyDescent="0.25">
      <c r="A103" s="136" t="s">
        <v>49</v>
      </c>
      <c r="B103" s="61"/>
      <c r="C103" s="61"/>
      <c r="D103" s="137"/>
      <c r="E103" s="208">
        <f>IF($E$98="Medium",($E$97-(VLOOKUP($E$102,Data!E48:G59,3,FALSE)))*(VLOOKUP($E$102,Data!E48:G59,2,FALSE)),IF($E$98="High",($E$97-(VLOOKUP($E$102,Data!E29:G40,3,FALSE)))*(VLOOKUP($E$102,Data!E29:G40,2,FALSE)),IF($E$98="Low",($E$97-(VLOOKUP($E$102,Data!E66:G78,3,FALSE)))*(VLOOKUP($E$102,Data!E66:G78,2,FALSE)))))</f>
        <v>63689.8842</v>
      </c>
      <c r="F103" s="79"/>
      <c r="G103" s="79"/>
      <c r="H103" s="141"/>
    </row>
    <row r="104" spans="1:15" ht="17.25" x14ac:dyDescent="0.25">
      <c r="A104" s="136"/>
      <c r="B104" s="61"/>
      <c r="C104" s="61"/>
      <c r="D104" s="137"/>
      <c r="E104" s="208">
        <f>E102+E103</f>
        <v>153587.1042</v>
      </c>
      <c r="F104" s="79"/>
      <c r="G104" s="79"/>
      <c r="H104" s="141"/>
    </row>
    <row r="105" spans="1:15" ht="17.25" x14ac:dyDescent="0.25">
      <c r="A105" s="136" t="s">
        <v>52</v>
      </c>
      <c r="B105" s="61"/>
      <c r="C105" s="61"/>
      <c r="D105" s="137"/>
      <c r="E105" s="209">
        <v>0</v>
      </c>
      <c r="F105" s="4"/>
      <c r="G105" s="4"/>
      <c r="H105" s="144"/>
    </row>
    <row r="106" spans="1:15" ht="18" x14ac:dyDescent="0.25">
      <c r="A106" s="138" t="s">
        <v>54</v>
      </c>
      <c r="B106" s="139"/>
      <c r="C106" s="139"/>
      <c r="D106" s="140"/>
      <c r="E106" s="210">
        <f>E104+E105</f>
        <v>153587.1042</v>
      </c>
      <c r="F106" s="142"/>
      <c r="G106" s="142"/>
      <c r="H106" s="143"/>
    </row>
    <row r="107" spans="1:15" ht="15.75" thickBot="1" x14ac:dyDescent="0.3"/>
    <row r="108" spans="1:15" ht="19.5" thickBot="1" x14ac:dyDescent="0.35">
      <c r="A108" s="206" t="s">
        <v>36</v>
      </c>
      <c r="B108" s="145"/>
      <c r="C108" s="145"/>
      <c r="D108" s="146"/>
      <c r="E108" s="112" t="s">
        <v>37</v>
      </c>
      <c r="F108" s="112" t="s">
        <v>117</v>
      </c>
      <c r="G108" s="123" t="s">
        <v>66</v>
      </c>
      <c r="H108" s="112" t="s">
        <v>116</v>
      </c>
    </row>
    <row r="109" spans="1:15" ht="17.25" x14ac:dyDescent="0.3">
      <c r="A109" s="84" t="s">
        <v>123</v>
      </c>
      <c r="B109" s="124" t="s">
        <v>127</v>
      </c>
      <c r="C109" s="124"/>
      <c r="D109" s="124"/>
      <c r="E109" s="109">
        <v>0.02</v>
      </c>
      <c r="F109" s="83">
        <f>$E$106*E109</f>
        <v>3071.742084</v>
      </c>
      <c r="G109" s="109">
        <v>0.3</v>
      </c>
      <c r="H109" s="110">
        <f>IF(G109=0,F109,F109-(F109*G109))</f>
        <v>2150.2194588000002</v>
      </c>
    </row>
    <row r="110" spans="1:15" ht="17.25" x14ac:dyDescent="0.3">
      <c r="A110" s="88" t="s">
        <v>122</v>
      </c>
      <c r="B110" s="3" t="s">
        <v>125</v>
      </c>
      <c r="C110" s="3"/>
      <c r="D110" s="3"/>
      <c r="E110" s="212">
        <v>0.15</v>
      </c>
      <c r="F110" s="5">
        <f t="shared" ref="F110:F115" si="16">$E$106*E110</f>
        <v>23038.065630000001</v>
      </c>
      <c r="G110" s="212">
        <v>0.3</v>
      </c>
      <c r="H110" s="87">
        <f t="shared" ref="H110:H115" si="17">IF(G110=0,F110,F110-(F110*G110))</f>
        <v>16126.645941000001</v>
      </c>
    </row>
    <row r="111" spans="1:15" ht="17.25" x14ac:dyDescent="0.3">
      <c r="A111" s="88" t="s">
        <v>121</v>
      </c>
      <c r="B111" s="3" t="s">
        <v>124</v>
      </c>
      <c r="C111" s="3"/>
      <c r="D111" s="3"/>
      <c r="E111" s="212">
        <v>0.2</v>
      </c>
      <c r="F111" s="5">
        <f t="shared" si="16"/>
        <v>30717.420840000002</v>
      </c>
      <c r="G111" s="212">
        <v>0.3</v>
      </c>
      <c r="H111" s="87">
        <f t="shared" si="17"/>
        <v>21502.194588000002</v>
      </c>
      <c r="L111" s="216"/>
    </row>
    <row r="112" spans="1:15" ht="17.25" x14ac:dyDescent="0.3">
      <c r="A112" s="88" t="s">
        <v>45</v>
      </c>
      <c r="B112" s="3" t="s">
        <v>46</v>
      </c>
      <c r="C112" s="3"/>
      <c r="D112" s="3"/>
      <c r="E112" s="212">
        <v>0.1</v>
      </c>
      <c r="F112" s="5">
        <f t="shared" si="16"/>
        <v>15358.710420000001</v>
      </c>
      <c r="G112" s="212">
        <v>0.2</v>
      </c>
      <c r="H112" s="87">
        <f t="shared" si="17"/>
        <v>12286.968336000002</v>
      </c>
      <c r="L112" s="216"/>
    </row>
    <row r="113" spans="1:15" ht="17.25" x14ac:dyDescent="0.3">
      <c r="A113" s="88" t="s">
        <v>57</v>
      </c>
      <c r="B113" s="3" t="s">
        <v>47</v>
      </c>
      <c r="C113" s="3"/>
      <c r="D113" s="3"/>
      <c r="E113" s="212">
        <v>0.2</v>
      </c>
      <c r="F113" s="5">
        <f t="shared" si="16"/>
        <v>30717.420840000002</v>
      </c>
      <c r="G113" s="212">
        <v>0.2</v>
      </c>
      <c r="H113" s="87">
        <f>IF(G113=0,F113,F113-(F113*G113))</f>
        <v>24573.936672000003</v>
      </c>
      <c r="L113" s="216"/>
    </row>
    <row r="114" spans="1:15" ht="17.25" x14ac:dyDescent="0.3">
      <c r="A114" s="88" t="s">
        <v>50</v>
      </c>
      <c r="B114" s="3" t="s">
        <v>126</v>
      </c>
      <c r="C114" s="3"/>
      <c r="D114" s="3"/>
      <c r="E114" s="212">
        <v>0.3</v>
      </c>
      <c r="F114" s="5">
        <f t="shared" si="16"/>
        <v>46076.131260000002</v>
      </c>
      <c r="G114" s="212">
        <v>0</v>
      </c>
      <c r="H114" s="87">
        <f>IF(G114=0,F114,F114-(F114*G114))</f>
        <v>46076.131260000002</v>
      </c>
      <c r="L114" s="216"/>
    </row>
    <row r="115" spans="1:15" ht="18" thickBot="1" x14ac:dyDescent="0.35">
      <c r="A115" s="89" t="s">
        <v>120</v>
      </c>
      <c r="B115" s="125" t="s">
        <v>119</v>
      </c>
      <c r="C115" s="125"/>
      <c r="D115" s="125"/>
      <c r="E115" s="111">
        <v>0.03</v>
      </c>
      <c r="F115" s="85">
        <f t="shared" si="16"/>
        <v>4607.6131260000002</v>
      </c>
      <c r="G115" s="111">
        <v>0</v>
      </c>
      <c r="H115" s="86">
        <f t="shared" si="17"/>
        <v>4607.6131260000002</v>
      </c>
      <c r="L115" s="217"/>
    </row>
    <row r="116" spans="1:15" ht="18" thickBot="1" x14ac:dyDescent="0.35">
      <c r="A116" s="1"/>
      <c r="B116" s="1"/>
      <c r="C116" s="1"/>
      <c r="F116" s="1"/>
      <c r="G116" s="3"/>
      <c r="H116" s="1"/>
    </row>
    <row r="117" spans="1:15" ht="19.5" thickBot="1" x14ac:dyDescent="0.35">
      <c r="A117" s="1"/>
      <c r="B117" s="1"/>
      <c r="C117" s="1"/>
      <c r="E117" s="266" t="s">
        <v>90</v>
      </c>
      <c r="F117" s="267"/>
      <c r="G117" s="268"/>
      <c r="H117" s="117">
        <f>H118*(1-(SUM(H109:H115)/H118))</f>
        <v>26263.394818200013</v>
      </c>
    </row>
    <row r="118" spans="1:15" ht="19.5" thickBot="1" x14ac:dyDescent="0.35">
      <c r="B118" s="113"/>
      <c r="C118" s="113"/>
      <c r="E118" s="266" t="s">
        <v>53</v>
      </c>
      <c r="F118" s="267"/>
      <c r="G118" s="268"/>
      <c r="H118" s="117">
        <f>SUM(F109:F115)</f>
        <v>153587.10420000003</v>
      </c>
    </row>
    <row r="119" spans="1:15" ht="15.75" thickBot="1" x14ac:dyDescent="0.3"/>
    <row r="120" spans="1:15" ht="18.75" thickBot="1" x14ac:dyDescent="0.3">
      <c r="E120" s="269" t="s">
        <v>114</v>
      </c>
      <c r="F120" s="270"/>
      <c r="G120" s="271"/>
      <c r="H120" s="114">
        <f>H118-H117</f>
        <v>127323.70938180001</v>
      </c>
    </row>
    <row r="121" spans="1:15" ht="17.25" x14ac:dyDescent="0.3">
      <c r="A121" s="1"/>
      <c r="B121" s="211"/>
      <c r="C121" s="188"/>
      <c r="D121" s="188"/>
      <c r="E121" s="60"/>
      <c r="F121" s="170"/>
      <c r="G121" s="4"/>
      <c r="H121" s="79"/>
    </row>
    <row r="122" spans="1:15" x14ac:dyDescent="0.25">
      <c r="M122" s="93"/>
    </row>
    <row r="123" spans="1:15" x14ac:dyDescent="0.25">
      <c r="D123" s="272"/>
      <c r="E123" s="272"/>
    </row>
    <row r="125" spans="1:15" x14ac:dyDescent="0.25">
      <c r="D125" s="272"/>
      <c r="E125" s="272"/>
      <c r="O125" s="159"/>
    </row>
    <row r="127" spans="1:15" x14ac:dyDescent="0.25">
      <c r="D127" s="272"/>
      <c r="E127" s="272"/>
      <c r="F127" s="272"/>
      <c r="G127" s="272"/>
    </row>
    <row r="128" spans="1:15" x14ac:dyDescent="0.25">
      <c r="D128" s="272"/>
      <c r="E128" s="272"/>
      <c r="F128" s="272"/>
      <c r="G128" s="272"/>
    </row>
    <row r="129" spans="4:16" x14ac:dyDescent="0.25">
      <c r="D129" s="272"/>
      <c r="E129" s="272"/>
      <c r="F129" s="272"/>
      <c r="G129" s="272"/>
    </row>
    <row r="130" spans="4:16" x14ac:dyDescent="0.25">
      <c r="D130" s="272"/>
      <c r="E130" s="272"/>
      <c r="F130" s="272"/>
      <c r="G130" s="272"/>
    </row>
    <row r="131" spans="4:16" x14ac:dyDescent="0.25">
      <c r="D131" s="272"/>
      <c r="E131" s="272"/>
      <c r="F131" s="272"/>
      <c r="G131" s="272"/>
    </row>
    <row r="132" spans="4:16" x14ac:dyDescent="0.25">
      <c r="D132" s="272"/>
      <c r="E132" s="272"/>
      <c r="F132" s="272"/>
      <c r="G132" s="272"/>
    </row>
    <row r="133" spans="4:16" x14ac:dyDescent="0.25">
      <c r="D133" s="272"/>
      <c r="E133" s="272"/>
      <c r="F133" s="272"/>
      <c r="G133" s="272"/>
    </row>
    <row r="134" spans="4:16" x14ac:dyDescent="0.25">
      <c r="D134" s="272"/>
      <c r="E134" s="272"/>
      <c r="F134" s="272"/>
      <c r="G134" s="272"/>
    </row>
    <row r="136" spans="4:16" ht="22.5" customHeight="1" x14ac:dyDescent="0.25">
      <c r="D136" s="272"/>
      <c r="E136" s="272"/>
      <c r="F136" s="272"/>
      <c r="G136" s="272"/>
    </row>
    <row r="138" spans="4:16" x14ac:dyDescent="0.25">
      <c r="L138" s="213"/>
      <c r="N138" s="159"/>
    </row>
    <row r="139" spans="4:16" x14ac:dyDescent="0.25">
      <c r="N139" s="213"/>
      <c r="O139" s="159"/>
    </row>
    <row r="141" spans="4:16" x14ac:dyDescent="0.25">
      <c r="O141" s="93"/>
    </row>
    <row r="144" spans="4:16" x14ac:dyDescent="0.25">
      <c r="P144" s="159"/>
    </row>
    <row r="147" spans="4:13" x14ac:dyDescent="0.25">
      <c r="M147" s="116"/>
    </row>
    <row r="148" spans="4:13" x14ac:dyDescent="0.25">
      <c r="M148" s="115"/>
    </row>
    <row r="149" spans="4:13" x14ac:dyDescent="0.25">
      <c r="D149" s="272"/>
      <c r="E149" s="272"/>
    </row>
    <row r="150" spans="4:13" x14ac:dyDescent="0.25">
      <c r="D150" s="272"/>
      <c r="E150" s="272"/>
    </row>
    <row r="151" spans="4:13" x14ac:dyDescent="0.25">
      <c r="D151" s="272"/>
      <c r="E151" s="272"/>
    </row>
  </sheetData>
  <mergeCells count="40">
    <mergeCell ref="B36:C36"/>
    <mergeCell ref="B21:C21"/>
    <mergeCell ref="B26:C26"/>
    <mergeCell ref="B31:C31"/>
    <mergeCell ref="B17:C17"/>
    <mergeCell ref="L15:N15"/>
    <mergeCell ref="L19:N19"/>
    <mergeCell ref="B16:C16"/>
    <mergeCell ref="A11:H11"/>
    <mergeCell ref="A13:C13"/>
    <mergeCell ref="A14:C14"/>
    <mergeCell ref="A15:B15"/>
    <mergeCell ref="D151:E151"/>
    <mergeCell ref="D149:E149"/>
    <mergeCell ref="E117:G117"/>
    <mergeCell ref="E97:H97"/>
    <mergeCell ref="E98:H98"/>
    <mergeCell ref="F127:G127"/>
    <mergeCell ref="F128:G128"/>
    <mergeCell ref="F129:G129"/>
    <mergeCell ref="F130:G130"/>
    <mergeCell ref="F131:G131"/>
    <mergeCell ref="F132:G132"/>
    <mergeCell ref="F133:G133"/>
    <mergeCell ref="D136:E136"/>
    <mergeCell ref="D127:E127"/>
    <mergeCell ref="D125:E125"/>
    <mergeCell ref="D123:E123"/>
    <mergeCell ref="E118:G118"/>
    <mergeCell ref="E120:G120"/>
    <mergeCell ref="D150:E150"/>
    <mergeCell ref="D128:E128"/>
    <mergeCell ref="D129:E129"/>
    <mergeCell ref="D130:E130"/>
    <mergeCell ref="D131:E131"/>
    <mergeCell ref="D132:E132"/>
    <mergeCell ref="D133:E133"/>
    <mergeCell ref="F136:G136"/>
    <mergeCell ref="D134:E134"/>
    <mergeCell ref="F134:G134"/>
  </mergeCells>
  <phoneticPr fontId="25" type="noConversion"/>
  <dataValidations count="2">
    <dataValidation type="list" allowBlank="1" showInputMessage="1" showErrorMessage="1" sqref="E98" xr:uid="{ECF54CF7-43CA-4261-8A26-6CBCF5480061}">
      <formula1>"Low,Medium,High"</formula1>
    </dataValidation>
    <dataValidation type="list" allowBlank="1" showInputMessage="1" showErrorMessage="1" sqref="D16:D19 D26:D29 D21:D24 D31:D43 D80 D54:D78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zoomScale="85" zoomScaleNormal="85" workbookViewId="0">
      <selection activeCell="F14" sqref="F14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206340.5</v>
      </c>
      <c r="R9" s="33">
        <v>0</v>
      </c>
      <c r="S9" s="34">
        <f>Q9-W9</f>
        <v>206340.5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103170.25</v>
      </c>
      <c r="R10" s="41">
        <v>0</v>
      </c>
      <c r="S10" s="42">
        <f>Q10-W10</f>
        <v>103170.25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51585.125</v>
      </c>
      <c r="R11" s="41">
        <v>0</v>
      </c>
      <c r="S11" s="42">
        <f>Q11-W11</f>
        <v>51585.125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154755.375</v>
      </c>
      <c r="R12" s="47">
        <v>0</v>
      </c>
      <c r="S12" s="21">
        <f>Q12-W12</f>
        <v>154755.375</v>
      </c>
      <c r="U12" s="48" t="s">
        <v>48</v>
      </c>
      <c r="V12"/>
      <c r="W12" s="49">
        <f>Q12*R12</f>
        <v>0</v>
      </c>
    </row>
    <row r="13" spans="2:23" ht="18" thickBot="1" x14ac:dyDescent="0.35">
      <c r="B13" s="322" t="s">
        <v>44</v>
      </c>
      <c r="C13" s="323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307851.38</v>
      </c>
      <c r="M14"/>
      <c r="N14" s="320" t="s">
        <v>53</v>
      </c>
      <c r="O14" s="321"/>
      <c r="P14" s="55"/>
      <c r="Q14" s="51">
        <f>SUM(Q9:Q12)</f>
        <v>515851.25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207999.87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515851.25</v>
      </c>
      <c r="V15"/>
      <c r="W15"/>
    </row>
    <row r="16" spans="2:23" x14ac:dyDescent="0.3">
      <c r="B16" s="37"/>
      <c r="C16" s="42">
        <f>C14+C15</f>
        <v>515851.25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515851.25</v>
      </c>
    </row>
    <row r="24" spans="2:12" x14ac:dyDescent="0.3">
      <c r="B24" s="324" t="s">
        <v>18</v>
      </c>
      <c r="C24" s="324"/>
      <c r="D24" s="324"/>
      <c r="E24" s="324"/>
      <c r="F24" s="324"/>
      <c r="G24" s="324"/>
    </row>
    <row r="25" spans="2:12" x14ac:dyDescent="0.3">
      <c r="B25" s="325" t="s">
        <v>19</v>
      </c>
      <c r="C25" s="325" t="s">
        <v>20</v>
      </c>
      <c r="D25" s="325"/>
      <c r="E25" s="325" t="s">
        <v>21</v>
      </c>
      <c r="F25" s="325" t="s">
        <v>22</v>
      </c>
      <c r="G25" s="325"/>
      <c r="J25" s="175" t="s">
        <v>86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369421.66</v>
      </c>
      <c r="L25" s="177">
        <f>VLOOKUP(K25,E29:G40,2,FALSE)</f>
        <v>0.156</v>
      </c>
    </row>
    <row r="26" spans="2:12" x14ac:dyDescent="0.3">
      <c r="B26" s="325"/>
      <c r="C26" s="10"/>
      <c r="D26" s="10"/>
      <c r="E26" s="325"/>
      <c r="F26" s="10"/>
      <c r="G26" s="10"/>
      <c r="J26" s="77" t="s">
        <v>89</v>
      </c>
      <c r="K26" s="5">
        <f>K25+L27</f>
        <v>619021.50399999996</v>
      </c>
      <c r="L26" s="178">
        <f>VLOOKUP(K25,E29:G40,3,FALSE)</f>
        <v>2000001</v>
      </c>
    </row>
    <row r="27" spans="2:12" x14ac:dyDescent="0.3">
      <c r="B27" s="325"/>
      <c r="C27" s="10" t="s">
        <v>23</v>
      </c>
      <c r="D27" s="10" t="s">
        <v>24</v>
      </c>
      <c r="E27" s="325"/>
      <c r="F27" s="10" t="s">
        <v>25</v>
      </c>
      <c r="G27" s="10" t="s">
        <v>26</v>
      </c>
      <c r="J27" s="179"/>
      <c r="K27" s="180" t="s">
        <v>112</v>
      </c>
      <c r="L27" s="181">
        <f>(C9-L26)*L25</f>
        <v>249599.84400000001</v>
      </c>
    </row>
    <row r="28" spans="2:12" x14ac:dyDescent="0.3">
      <c r="B28" s="325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264">
        <v>13610.22</v>
      </c>
      <c r="F29" s="13">
        <v>0.2104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264">
        <v>55682.01</v>
      </c>
      <c r="F30" s="13">
        <v>0.1759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264">
        <v>134845.82999999999</v>
      </c>
      <c r="F31" s="13">
        <v>0.17379999999999998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264">
        <v>369421.66</v>
      </c>
      <c r="F32" s="13">
        <v>0.156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264">
        <v>681421.5</v>
      </c>
      <c r="F33" s="13">
        <v>0.15359999999999999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264">
        <v>1065421.3500000001</v>
      </c>
      <c r="F34" s="13">
        <v>0.13800000000000001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264">
        <v>1962421.21</v>
      </c>
      <c r="F35" s="13">
        <v>0.12939999999999999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264">
        <v>5455141.0800000001</v>
      </c>
      <c r="F36" s="13">
        <v>0.12539999999999998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264">
        <v>16741140.960000001</v>
      </c>
      <c r="F37" s="13">
        <v>0.12140000000000001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264">
        <v>32528340.84</v>
      </c>
      <c r="F38" s="13">
        <v>0.11220000000000001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264">
        <v>61700340.719999999</v>
      </c>
      <c r="F39" s="13">
        <v>0.1082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264">
        <v>117985140.59999999</v>
      </c>
      <c r="F40" s="13">
        <v>0.1056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318" t="s">
        <v>22</v>
      </c>
      <c r="G44" s="319"/>
      <c r="J44" s="175" t="s">
        <v>86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307851.38</v>
      </c>
      <c r="L44" s="177">
        <f>VLOOKUP(K44,E48:G59,2,FALSE)</f>
        <v>0.13</v>
      </c>
    </row>
    <row r="45" spans="2:12" x14ac:dyDescent="0.3">
      <c r="B45" s="10"/>
      <c r="C45" s="10"/>
      <c r="D45" s="10"/>
      <c r="E45" s="10"/>
      <c r="F45" s="10"/>
      <c r="G45" s="10"/>
      <c r="J45" s="77" t="s">
        <v>89</v>
      </c>
      <c r="K45" s="5">
        <f>K44+L46</f>
        <v>515851.25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112</v>
      </c>
      <c r="L46" s="181">
        <f>(C9-L45)*L44</f>
        <v>207999.87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11341.85</v>
      </c>
      <c r="F48" s="13">
        <v>0.17530000000000001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46401.67</v>
      </c>
      <c r="F49" s="13">
        <v>0.14660000000000001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112371.53</v>
      </c>
      <c r="F50" s="13">
        <v>0.14480000000000001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307851.38</v>
      </c>
      <c r="F51" s="13">
        <v>0.13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567851.25</v>
      </c>
      <c r="F52" s="13">
        <v>0.128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887851.13</v>
      </c>
      <c r="F53" s="13">
        <v>0.115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1635351.01</v>
      </c>
      <c r="F54" s="13">
        <v>0.10779999999999999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4545950.9000000004</v>
      </c>
      <c r="F55" s="13">
        <v>0.1045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13950950.800000001</v>
      </c>
      <c r="F56" s="13">
        <v>0.1012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27106950.699999999</v>
      </c>
      <c r="F57" s="13">
        <v>9.35E-2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51416950.600000001</v>
      </c>
      <c r="F58" s="13">
        <v>9.0200000000000002E-2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98320950.510000005</v>
      </c>
      <c r="F59" s="13">
        <v>8.8000000000000009E-2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86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246281.11</v>
      </c>
      <c r="L63" s="177">
        <f>VLOOKUP(K63,E67:G78,2,FALSE)</f>
        <v>0.10400000000000001</v>
      </c>
    </row>
    <row r="64" spans="2:12" x14ac:dyDescent="0.3">
      <c r="B64" s="10"/>
      <c r="C64" s="10"/>
      <c r="D64" s="10"/>
      <c r="E64" s="10"/>
      <c r="F64" s="10"/>
      <c r="G64" s="10"/>
      <c r="J64" s="77" t="s">
        <v>89</v>
      </c>
      <c r="K64" s="5">
        <f>K63+L65</f>
        <v>412681.00599999999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112</v>
      </c>
      <c r="L65" s="181">
        <f>(C9-L64)*L63</f>
        <v>166399.89600000001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9073.48</v>
      </c>
      <c r="F67" s="13">
        <v>0.14019999999999999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37121.339999999997</v>
      </c>
      <c r="F68" s="13">
        <v>0.1173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89897.22</v>
      </c>
      <c r="F69" s="13">
        <v>0.1158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246281.11</v>
      </c>
      <c r="F70" s="13">
        <v>0.10400000000000001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454281</v>
      </c>
      <c r="F71" s="13">
        <v>0.1024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710280.9</v>
      </c>
      <c r="F72" s="13">
        <v>9.1999999999999998E-2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1308280.81</v>
      </c>
      <c r="F73" s="13">
        <v>8.6199999999999999E-2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3636760.72</v>
      </c>
      <c r="F74" s="13">
        <v>8.3599999999999994E-2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11160760.640000001</v>
      </c>
      <c r="F75" s="13">
        <v>8.1000000000000003E-2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21685560.559999999</v>
      </c>
      <c r="F76" s="13">
        <v>7.4800000000000005E-2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41133560.479999997</v>
      </c>
      <c r="F77" s="13">
        <v>7.22E-2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78656760.409999996</v>
      </c>
      <c r="F78" s="13">
        <v>7.0400000000000004E-2</v>
      </c>
      <c r="G78" s="12">
        <v>1040000001</v>
      </c>
    </row>
  </sheetData>
  <mergeCells count="8">
    <mergeCell ref="F44:G44"/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2026-03-26T15:20:36Z</dcterms:modified>
</cp:coreProperties>
</file>