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Stucken &amp; Co\"/>
    </mc:Choice>
  </mc:AlternateContent>
  <xr:revisionPtr revIDLastSave="0" documentId="13_ncr:1_{1863E2AD-A5FA-41D1-9F4B-FE0CB7A3C3F1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2" l="1"/>
  <c r="K44" i="2"/>
  <c r="K25" i="2"/>
  <c r="H83" i="3"/>
  <c r="H51" i="3"/>
  <c r="H50" i="3"/>
  <c r="H49" i="3"/>
  <c r="K73" i="3" l="1"/>
  <c r="L73" i="3" s="1"/>
  <c r="L74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F16" i="3"/>
  <c r="G16" i="3" s="1"/>
  <c r="F17" i="3"/>
  <c r="G20" i="3"/>
  <c r="G21" i="3"/>
  <c r="G22" i="3"/>
  <c r="G23" i="3"/>
  <c r="F19" i="3"/>
  <c r="G19" i="3" s="1"/>
  <c r="E19" i="3"/>
  <c r="H19" i="3" s="1"/>
  <c r="E20" i="3"/>
  <c r="H20" i="3" s="1"/>
  <c r="E21" i="3"/>
  <c r="G17" i="3" l="1"/>
  <c r="G54" i="3" l="1"/>
  <c r="H38" i="3"/>
  <c r="H37" i="3" l="1"/>
  <c r="C14" i="2"/>
  <c r="C15" i="2" s="1"/>
  <c r="H35" i="3"/>
  <c r="H36" i="3"/>
  <c r="H34" i="3"/>
  <c r="K36" i="3"/>
  <c r="L63" i="2" l="1"/>
  <c r="H33" i="3"/>
  <c r="H40" i="3" s="1"/>
  <c r="H42" i="3" s="1"/>
  <c r="L64" i="2"/>
  <c r="H54" i="3"/>
  <c r="K78" i="3" s="1"/>
  <c r="L78" i="3" s="1"/>
  <c r="L65" i="2" l="1"/>
  <c r="K64" i="2" s="1"/>
  <c r="E56" i="3"/>
  <c r="E61" i="3" s="1"/>
  <c r="E62" i="3" s="1"/>
  <c r="E5" i="2"/>
  <c r="E63" i="3" l="1"/>
  <c r="E65" i="3" s="1"/>
  <c r="F68" i="3" l="1"/>
  <c r="H68" i="3" s="1"/>
  <c r="F71" i="3"/>
  <c r="H71" i="3" s="1"/>
  <c r="F74" i="3"/>
  <c r="F72" i="3"/>
  <c r="F69" i="3"/>
  <c r="H69" i="3" s="1"/>
  <c r="F73" i="3"/>
  <c r="H73" i="3" s="1"/>
  <c r="F70" i="3"/>
  <c r="H70" i="3" s="1"/>
  <c r="L45" i="2"/>
  <c r="L44" i="2"/>
  <c r="L26" i="2"/>
  <c r="L25" i="2"/>
  <c r="C16" i="2"/>
  <c r="C18" i="2" s="1"/>
  <c r="H72" i="3" l="1"/>
  <c r="L65" i="3" s="1"/>
  <c r="L66" i="3" s="1"/>
  <c r="L69" i="3" s="1"/>
  <c r="H77" i="3"/>
  <c r="H74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L68" i="3" l="1"/>
  <c r="L71" i="3"/>
  <c r="L70" i="3"/>
  <c r="H76" i="3"/>
  <c r="H79" i="3" s="1"/>
  <c r="Q14" i="2"/>
  <c r="W9" i="2"/>
  <c r="S9" i="2" s="1"/>
  <c r="S15" i="2" s="1"/>
  <c r="L76" i="3" l="1"/>
  <c r="F15" i="3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 l="1"/>
  <c r="L34" i="3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<sst xmlns="http://schemas.openxmlformats.org/spreadsheetml/2006/main" count="280" uniqueCount="187">
  <si>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</si>
  <si>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</si>
  <si>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</si>
  <si>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</si>
  <si>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</si>
  <si>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</si>
  <si>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</si>
  <si>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</si>
  <si>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</si>
  <si>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</si>
  <si>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</si>
  <si>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</si>
  <si>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</si>
  <si>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</si>
  <si>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</si>
  <si>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</si>
  <si>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</si>
  <si>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</si>
  <si>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</si>
  <si>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</si>
  <si>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</si>
  <si>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</si>
  <si>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</si>
  <si>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</si>
  <si>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</si>
  <si>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</si>
  <si>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</si>
  <si>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</si>
  <si>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</si>
  <si>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</si>
  <si>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</si>
  <si>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</si>
  <si>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</si>
  <si>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</si>
  <si>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</si>
  <si>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</si>
  <si>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</si>
  <si>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</si>
  <si>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</si>
  <si>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</si>
  <si>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</si>
  <si>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</si>
  <si>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</si>
  <si>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</si>
  <si>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</si>
  <si>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</si>
  <si>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</si>
  <si>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</si>
  <si>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</si>
  <si>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</si>
  <si>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</si>
  <si>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</si>
  <si>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</si>
  <si>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</si>
  <si>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</si>
  <si>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</si>
  <si>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</si>
  <si>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</si>
  <si>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</si>
  <si>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</si>
  <si>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</si>
  <si>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</si>
  <si>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</si>
  <si>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</si>
  <si>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</si>
  <si>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</si>
  <si>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</si>
  <si>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</si>
  <si>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</si>
  <si>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</si>
  <si>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</si>
  <si>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</si>
  <si>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</si>
  <si>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</si>
  <si>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</si>
  <si>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</si>
  <si>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</si>
  <si>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</si>
  <si>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</si>
  <si>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</si>
  <si>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</si>
  <si>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</si>
  <si>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</si>
  <si>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</si>
  <si>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</si>
  <si>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</si>
  <si>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</si>
  <si>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</si>
  <si>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</si>
  <si>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</si>
  <si>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</si>
  <si>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</si>
  <si>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</si>
  <si>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</si>
  <si>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</si>
  <si>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</si>
  <si>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</si>
  <si>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</si>
  <si>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</si>
  <si>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</si>
  <si>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</si>
  <si>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</si>
  <si>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</si>
  <si>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</si>
  <si>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</si>
  <si>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</si>
  <si>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</si>
  <si>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</si>
  <si>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</si>
  <si>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</si>
  <si>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</si>
  <si>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</si>
  <si>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</si>
  <si>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</si>
  <si>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</si>
  <si>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</si>
  <si>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</si>
  <si>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</si>
  <si>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</si>
  <si>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</si>
  <si>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</si>
  <si>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</si>
  <si>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</si>
  <si>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</si>
  <si>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</si>
  <si>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</si>
  <si>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</si>
  <si>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</si>
  <si>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</si>
  <si>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</si>
  <si>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</si>
  <si>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</si>
  <si>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</si>
  <si>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</si>
  <si>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</si>
  <si>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</si>
  <si>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</si>
  <si>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</si>
  <si>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</si>
  <si>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</si>
  <si>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</si>
  <si>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</si>
  <si>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</si>
  <si>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</si>
  <si>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</si>
  <si>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</si>
  <si>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</si>
  <si>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</si>
  <si>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</si>
  <si>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</si>
  <si>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</si>
  <si>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</si>
  <si>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</si>
  <si>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</si>
  <si>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</si>
  <si>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</si>
  <si>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</si>
  <si>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</si>
  <si>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SDP</t>
  </si>
  <si>
    <t>Construction drawings for Tender</t>
  </si>
  <si>
    <t>Ongoing Construction drawings</t>
  </si>
  <si>
    <t>Site visits</t>
  </si>
  <si>
    <t>Project management</t>
  </si>
  <si>
    <t>G&amp;I - Office Block</t>
  </si>
  <si>
    <t>G&amp;I - HR Offices</t>
  </si>
  <si>
    <t>Hinterveld</t>
  </si>
  <si>
    <t>This gazette is also available free online at www.gpwonline.co.za388 No. 51352 GOVERNMENT GAZETTE, 4 OcTObER 2024SSoouutthh AAffrriiccaann CCoouunncciill ffoorr tthhee AArrcchhiitteeccttuurraall PPrrooffeessssiioonn</t>
  </si>
  <si>
    <t>Page 2 of 27</t>
  </si>
  <si>
    <t>Cost</t>
  </si>
  <si>
    <t>Bracket</t>
  </si>
  <si>
    <t>Value of works Primary Fee Plus, a secondary fee</t>
  </si>
  <si>
    <t>From To Add % On balance over</t>
  </si>
  <si>
    <t>A B C D E</t>
  </si>
  <si>
    <t>1. 1 200 000,00 11 341,85 17,53% 11</t>
  </si>
  <si>
    <t>2. 200 001,00 650 000,00 46 393,33 16,85% 220000 000011,,0000</t>
  </si>
  <si>
    <t>3. 650 001,00 2 000 000,00 122 193,97 12,43% 665500 000011,,0000</t>
  </si>
  <si>
    <t>4. 2 000 001,00 4 000 000,00 289 927,74 10,83% 22 000000 000011,,0000</t>
  </si>
  <si>
    <t>5. 4 000 001,00 6 500 000,00 506 559,80 10,55% 44 000000 000011,,0000</t>
  </si>
  <si>
    <t>6. 6 500 001,00 13 000 000,00 770 251,28 9,16% 66 550000 000011,,0000</t>
  </si>
  <si>
    <t>7. 13 000 001,00 40 000 000,00 1 365 321,64 8,86% 1133 000000 000011,,0000</t>
  </si>
  <si>
    <t>8. 40 000 001,00 130 000 000,00 3 755 421,23 8,85% 4400 000000 000011,,0000</t>
  </si>
  <si>
    <t>9. 130 000 001,00 260 000 000,00 11 717 437,86 8,28% 113300 000000</t>
  </si>
  <si>
    <t>000011,,0000</t>
  </si>
  <si>
    <t>10. 260 000 001,00 520 000 000,00 22 475 739,42 8,08% 226600 000000</t>
  </si>
  <si>
    <t>11. 520 000 001,00 1 040 000 000,00 43 501 431,14 7,88% 552200 000000</t>
  </si>
  <si>
    <t>12. 1 040 000 001,00 0 84 483 711,59 7,28% 11 004400 000000</t>
  </si>
  <si>
    <t>000011,,000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</si>
</sst>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44" fontId="0" fillId="0" borderId="0" xfId="0" applyNumberFormat="1"/>
    <xf numFmtId="164" fontId="8" fillId="0" borderId="55" xfId="0" applyNumberFormat="1" applyFont="1" applyBorder="1"/>
    <xf numFmtId="0" fontId="23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4" fontId="0" fillId="0" borderId="0" xfId="0" applyNumberFormat="1" applyAlignment="1">
      <alignment horizontal="left"/>
    </xf>
    <xf numFmtId="9" fontId="0" fillId="0" borderId="0" xfId="3" applyFont="1"/>
    <xf numFmtId="10" fontId="0" fillId="0" borderId="0" xfId="0" applyNumberFormat="1" applyAlignment="1">
      <alignment horizontal="left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abSelected="1" topLeftCell="A10" workbookViewId="0">
      <selection activeCell="N12" sqref="M12:N1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3" x14ac:dyDescent="0.3">
      <c r="A1" s="256"/>
      <c r="B1" s="256"/>
      <c r="C1" s="256"/>
      <c r="D1" s="256"/>
      <c r="E1" s="256"/>
      <c r="F1" s="256"/>
      <c r="G1" s="256"/>
      <c r="H1" s="256"/>
      <c r="I1" s="256"/>
      <c r="J1" s="256"/>
    </row>
    <row r="2" spans="1:13" x14ac:dyDescent="0.3">
      <c r="A2" s="256"/>
      <c r="B2" s="256"/>
      <c r="C2" s="256"/>
      <c r="D2" s="256"/>
      <c r="E2" s="256"/>
      <c r="F2" s="256"/>
      <c r="G2" s="256"/>
      <c r="H2" s="256"/>
      <c r="I2" s="256"/>
      <c r="J2" s="256"/>
    </row>
    <row r="3" spans="1:13" x14ac:dyDescent="0.3">
      <c r="A3" s="256"/>
      <c r="B3" s="256"/>
      <c r="C3" s="256"/>
      <c r="D3" s="256"/>
      <c r="E3" s="256"/>
      <c r="F3" s="256"/>
      <c r="G3" s="256"/>
      <c r="H3" s="256"/>
      <c r="I3" s="256"/>
      <c r="J3" s="256"/>
    </row>
    <row r="4" spans="1:13" x14ac:dyDescent="0.3">
      <c r="A4" s="256"/>
      <c r="B4" s="256"/>
      <c r="C4" s="256"/>
      <c r="D4" s="256"/>
      <c r="E4" s="256"/>
      <c r="F4" s="256"/>
      <c r="G4" s="256"/>
      <c r="H4" s="256"/>
      <c r="I4" s="256"/>
      <c r="J4" s="256"/>
    </row>
    <row r="5" spans="1:13" x14ac:dyDescent="0.3">
      <c r="A5" s="256"/>
      <c r="B5" s="256"/>
      <c r="C5" s="256"/>
      <c r="D5" s="256"/>
      <c r="E5" s="256"/>
      <c r="F5" s="256"/>
      <c r="G5" s="256"/>
      <c r="H5" s="256"/>
      <c r="I5" s="256"/>
      <c r="J5" s="256"/>
    </row>
    <row r="6" spans="1:13" x14ac:dyDescent="0.3">
      <c r="A6" s="256"/>
      <c r="B6" s="256"/>
      <c r="C6" s="256"/>
      <c r="D6" s="256"/>
      <c r="E6" s="256"/>
      <c r="F6" s="256"/>
      <c r="G6" s="256"/>
      <c r="H6" s="256"/>
      <c r="I6" s="256"/>
      <c r="J6" s="256"/>
    </row>
    <row r="7" spans="1:13" x14ac:dyDescent="0.3">
      <c r="A7" s="256"/>
      <c r="B7" s="256"/>
      <c r="C7" s="256"/>
      <c r="D7" s="256"/>
      <c r="E7" s="256"/>
      <c r="F7" s="256"/>
      <c r="G7" s="256"/>
      <c r="H7" s="256"/>
      <c r="I7" s="256"/>
      <c r="J7" s="256"/>
    </row>
    <row r="8" spans="1:13" x14ac:dyDescent="0.3">
      <c r="A8" s="256"/>
      <c r="B8" s="256"/>
      <c r="C8" s="256"/>
      <c r="D8" s="256"/>
      <c r="E8" s="256"/>
      <c r="F8" s="256"/>
      <c r="G8" s="256"/>
      <c r="H8" s="256"/>
      <c r="I8" s="256"/>
      <c r="J8" s="256"/>
    </row>
    <row r="9" spans="1:13" x14ac:dyDescent="0.3">
      <c r="A9" s="256"/>
      <c r="B9" s="256"/>
      <c r="C9" s="256"/>
      <c r="D9" s="256"/>
      <c r="E9" s="256"/>
      <c r="F9" s="256"/>
      <c r="G9" s="256"/>
      <c r="H9" s="256"/>
      <c r="I9" s="256"/>
      <c r="J9" s="256"/>
    </row>
    <row r="10" spans="1:13" x14ac:dyDescent="0.3">
      <c r="A10" s="256"/>
      <c r="B10" s="256"/>
      <c r="C10" s="256"/>
      <c r="D10" s="256"/>
      <c r="E10" s="256"/>
      <c r="F10" s="256"/>
      <c r="G10" s="256"/>
      <c r="H10" s="256"/>
      <c r="I10" s="256"/>
      <c r="J10" s="256"/>
    </row>
    <row r="11" spans="1:13" ht="21" thickBot="1" x14ac:dyDescent="0.35">
      <c r="A11" s="254" t="s">
        <v>5</v>
      </c>
      <c r="B11" s="255"/>
      <c r="C11" s="255"/>
      <c r="D11" s="255"/>
      <c r="E11" s="255"/>
      <c r="F11" s="255"/>
      <c r="G11" s="255"/>
      <c r="H11" s="255"/>
      <c r="I11" s="255"/>
      <c r="J11" s="255"/>
    </row>
    <row r="12" spans="1:13" ht="18.75" customHeight="1" thickBot="1" x14ac:dyDescent="0.35">
      <c r="A12" s="213" t="s">
        <v>89</v>
      </c>
      <c r="B12" s="214" t="s">
        <v>1</v>
      </c>
      <c r="C12" s="212" t="s">
        <v>0</v>
      </c>
      <c r="D12" s="216" t="s">
        <v>105</v>
      </c>
      <c r="E12" s="260" t="s">
        <v>9</v>
      </c>
      <c r="F12" s="264"/>
      <c r="G12" s="261"/>
      <c r="H12" s="260" t="s">
        <v>4</v>
      </c>
      <c r="I12" s="261"/>
      <c r="J12" s="212" t="s">
        <v>122</v>
      </c>
      <c r="M12" s="1">
        <v>6240.3231666666697</v>
      </c>
    </row>
    <row r="13" spans="1:13" x14ac:dyDescent="0.3">
      <c r="A13" s="208">
        <v>1</v>
      </c>
      <c r="B13" s="218" t="s">
        <v>123</v>
      </c>
      <c r="C13" s="112" t="s">
        <v>2</v>
      </c>
      <c r="D13" s="210">
        <v>40000</v>
      </c>
      <c r="E13" s="262">
        <v>0.1</v>
      </c>
      <c r="F13" s="262"/>
      <c r="G13" s="210">
        <f>D13*E13</f>
        <v>4000</v>
      </c>
      <c r="H13" s="259">
        <f>D13+G13</f>
        <v>44000</v>
      </c>
      <c r="I13" s="259"/>
      <c r="J13" s="112">
        <v>2</v>
      </c>
    </row>
    <row r="14" spans="1:13" x14ac:dyDescent="0.3">
      <c r="A14" s="208">
        <v>2</v>
      </c>
      <c r="B14" s="112" t="s">
        <v>93</v>
      </c>
      <c r="C14" s="112" t="s">
        <v>92</v>
      </c>
      <c r="D14" s="209">
        <v>24000</v>
      </c>
      <c r="E14" s="263">
        <v>0.1</v>
      </c>
      <c r="F14" s="263"/>
      <c r="G14" s="210">
        <f>D14*E14</f>
        <v>2400</v>
      </c>
      <c r="H14" s="257">
        <f>D14+G14</f>
        <v>26400</v>
      </c>
      <c r="I14" s="257"/>
      <c r="J14" s="112">
        <v>1</v>
      </c>
    </row>
    <row r="15" spans="1:13" x14ac:dyDescent="0.3">
      <c r="A15" s="208"/>
      <c r="B15" s="112"/>
      <c r="C15" s="112"/>
      <c r="D15" s="209"/>
      <c r="E15" s="267"/>
      <c r="F15" s="267"/>
      <c r="G15" s="210"/>
      <c r="H15" s="257"/>
      <c r="I15" s="257"/>
      <c r="J15" s="112"/>
    </row>
    <row r="16" spans="1:13" x14ac:dyDescent="0.3">
      <c r="A16" s="4"/>
      <c r="E16" s="258"/>
      <c r="F16" s="258"/>
      <c r="H16" s="258"/>
      <c r="I16" s="258"/>
      <c r="K16"/>
    </row>
    <row r="17" spans="1:15" ht="21" thickBot="1" x14ac:dyDescent="0.35">
      <c r="A17" s="270" t="s">
        <v>6</v>
      </c>
      <c r="B17" s="270"/>
      <c r="C17" s="270"/>
      <c r="D17" s="270"/>
      <c r="E17" s="270"/>
      <c r="F17" s="270"/>
      <c r="G17" s="270"/>
      <c r="H17" s="270"/>
      <c r="I17" s="270"/>
      <c r="J17" s="270"/>
      <c r="K17"/>
    </row>
    <row r="18" spans="1:15" ht="18" thickBot="1" x14ac:dyDescent="0.35">
      <c r="A18" s="211" t="s">
        <v>89</v>
      </c>
      <c r="B18" s="215" t="s">
        <v>7</v>
      </c>
      <c r="C18" s="271" t="s">
        <v>10</v>
      </c>
      <c r="D18" s="272"/>
      <c r="E18" s="268" t="s">
        <v>8</v>
      </c>
      <c r="F18" s="269"/>
      <c r="G18" s="274" t="s">
        <v>11</v>
      </c>
      <c r="H18" s="275"/>
      <c r="I18" s="275"/>
      <c r="J18" s="275"/>
      <c r="K18"/>
    </row>
    <row r="19" spans="1:15" x14ac:dyDescent="0.3">
      <c r="A19" s="208">
        <v>1</v>
      </c>
      <c r="B19" s="217">
        <v>21</v>
      </c>
      <c r="C19" s="273">
        <f>D45</f>
        <v>6240.323166666667</v>
      </c>
      <c r="D19" s="273"/>
      <c r="E19" s="265">
        <v>8</v>
      </c>
      <c r="F19" s="265"/>
      <c r="G19" s="276">
        <f>ROUNDUP(C19/E19,-0.1)</f>
        <v>781</v>
      </c>
      <c r="H19" s="276"/>
      <c r="I19" s="276"/>
      <c r="J19" s="276"/>
      <c r="K19" s="112"/>
    </row>
    <row r="20" spans="1:15" x14ac:dyDescent="0.3">
      <c r="A20" s="208">
        <v>2</v>
      </c>
      <c r="B20" s="217">
        <v>21</v>
      </c>
      <c r="C20" s="267">
        <f ca="1">J45</f>
        <v>5167.8</v>
      </c>
      <c r="D20" s="267"/>
      <c r="E20" s="266">
        <v>8</v>
      </c>
      <c r="F20" s="266"/>
      <c r="G20" s="277">
        <f ca="1">ROUNDUP(C20/E20,-1)</f>
        <v>650</v>
      </c>
      <c r="H20" s="277"/>
      <c r="I20" s="277"/>
      <c r="J20" s="277"/>
      <c r="K20" s="112"/>
    </row>
    <row r="21" spans="1:15" x14ac:dyDescent="0.3">
      <c r="A21" s="4"/>
      <c r="E21" s="258"/>
      <c r="F21" s="258"/>
      <c r="K21"/>
    </row>
    <row r="22" spans="1:15" ht="21" thickBot="1" x14ac:dyDescent="0.35">
      <c r="A22" s="254" t="s">
        <v>124</v>
      </c>
      <c r="B22" s="255"/>
      <c r="C22" s="255"/>
      <c r="D22" s="255"/>
      <c r="E22" s="255"/>
      <c r="F22" s="255"/>
      <c r="G22" s="255"/>
      <c r="H22" s="255"/>
      <c r="I22" s="255"/>
      <c r="J22" s="255"/>
      <c r="K22"/>
    </row>
    <row r="23" spans="1:15" ht="18" thickBot="1" x14ac:dyDescent="0.35">
      <c r="A23" s="211"/>
      <c r="B23" s="230" t="s">
        <v>125</v>
      </c>
      <c r="C23" s="230"/>
      <c r="D23" s="230" t="s">
        <v>3</v>
      </c>
      <c r="E23" s="230"/>
      <c r="F23" s="6"/>
      <c r="G23" s="6"/>
      <c r="H23" s="6"/>
      <c r="I23" s="6"/>
      <c r="J23" s="224"/>
    </row>
    <row r="24" spans="1:15" x14ac:dyDescent="0.3">
      <c r="A24" s="232">
        <v>1</v>
      </c>
      <c r="B24" s="14" t="s">
        <v>126</v>
      </c>
      <c r="C24" s="14"/>
      <c r="D24" s="237">
        <v>9510</v>
      </c>
      <c r="E24" s="238"/>
      <c r="F24" s="231">
        <v>1</v>
      </c>
      <c r="G24" s="1" t="s">
        <v>154</v>
      </c>
      <c r="I24" s="247">
        <v>1</v>
      </c>
      <c r="J24" s="239">
        <f ca="1">SUMIF($L$33:$O$42,G24,$O$33:$O$42)*$I$24</f>
        <v>750</v>
      </c>
      <c r="L24" s="1" t="s">
        <v>143</v>
      </c>
    </row>
    <row r="25" spans="1:15" x14ac:dyDescent="0.3">
      <c r="A25" s="4">
        <v>2</v>
      </c>
      <c r="B25" s="1" t="s">
        <v>127</v>
      </c>
      <c r="D25" s="204">
        <v>1000</v>
      </c>
      <c r="E25" s="239"/>
      <c r="F25" s="231">
        <v>2</v>
      </c>
      <c r="G25" s="1" t="s">
        <v>155</v>
      </c>
      <c r="I25" s="247">
        <v>1</v>
      </c>
      <c r="J25" s="239">
        <f ca="1">SUMIF($L$33:$O$43,G25,$O$33:$O$43)*$I$25</f>
        <v>350</v>
      </c>
      <c r="L25" s="220" t="s">
        <v>144</v>
      </c>
      <c r="M25" s="235" t="s">
        <v>145</v>
      </c>
      <c r="N25" s="221" t="s">
        <v>4</v>
      </c>
      <c r="O25" s="236" t="s">
        <v>146</v>
      </c>
    </row>
    <row r="26" spans="1:15" x14ac:dyDescent="0.3">
      <c r="A26" s="4">
        <v>3</v>
      </c>
      <c r="B26" s="1" t="s">
        <v>129</v>
      </c>
      <c r="D26" s="204">
        <v>3830</v>
      </c>
      <c r="E26" s="239"/>
      <c r="F26" s="231">
        <v>3</v>
      </c>
      <c r="G26" s="1" t="s">
        <v>126</v>
      </c>
      <c r="I26" s="247">
        <v>0.3</v>
      </c>
      <c r="J26" s="239">
        <f ca="1">SUMIF($B$24:$D$36,G26,$D$24:$D$36)*I26</f>
        <v>2853</v>
      </c>
      <c r="L26" s="166" t="s">
        <v>151</v>
      </c>
      <c r="M26" s="233">
        <v>12</v>
      </c>
      <c r="N26" s="246">
        <f>9000*C41</f>
        <v>18000</v>
      </c>
      <c r="O26" s="206">
        <f>N26/M26</f>
        <v>1500</v>
      </c>
    </row>
    <row r="27" spans="1:15" x14ac:dyDescent="0.3">
      <c r="A27" s="4">
        <v>4</v>
      </c>
      <c r="B27" s="1" t="s">
        <v>130</v>
      </c>
      <c r="D27" s="204">
        <v>600</v>
      </c>
      <c r="E27" s="239"/>
      <c r="F27" s="231">
        <v>4</v>
      </c>
      <c r="G27" s="1" t="s">
        <v>127</v>
      </c>
      <c r="I27" s="247">
        <v>0.3</v>
      </c>
      <c r="J27" s="239">
        <f ca="1">SUMIF($B$24:$D$36,G27,$D$24:$D$36)*I27</f>
        <v>300</v>
      </c>
      <c r="L27" s="77" t="s">
        <v>147</v>
      </c>
      <c r="M27" s="1">
        <v>12</v>
      </c>
      <c r="N27" s="204">
        <v>13200</v>
      </c>
      <c r="O27" s="239">
        <f>N27/M27</f>
        <v>1100</v>
      </c>
    </row>
    <row r="28" spans="1:15" x14ac:dyDescent="0.3">
      <c r="A28" s="4">
        <v>5</v>
      </c>
      <c r="B28" s="1" t="s">
        <v>131</v>
      </c>
      <c r="D28" s="204">
        <v>770</v>
      </c>
      <c r="E28" s="239"/>
      <c r="F28" s="231">
        <v>5</v>
      </c>
      <c r="G28" s="1" t="s">
        <v>130</v>
      </c>
      <c r="I28" s="247">
        <v>0.3</v>
      </c>
      <c r="J28" s="239">
        <f ca="1">SUMIF($B$24:$D$36,G28,$D$24:$D$36)*I28</f>
        <v>180</v>
      </c>
      <c r="L28" s="77" t="s">
        <v>148</v>
      </c>
      <c r="M28" s="1">
        <v>12</v>
      </c>
      <c r="N28" s="204">
        <v>1600</v>
      </c>
      <c r="O28" s="239">
        <f>N28/M28</f>
        <v>133.33333333333334</v>
      </c>
    </row>
    <row r="29" spans="1:15" x14ac:dyDescent="0.3">
      <c r="A29" s="4">
        <v>6</v>
      </c>
      <c r="B29" s="1" t="s">
        <v>132</v>
      </c>
      <c r="D29" s="204">
        <f>700*4*2</f>
        <v>5600</v>
      </c>
      <c r="E29" s="239"/>
      <c r="F29" s="231">
        <v>6</v>
      </c>
      <c r="G29" s="1" t="s">
        <v>131</v>
      </c>
      <c r="I29" s="247">
        <v>0.3</v>
      </c>
      <c r="J29" s="239">
        <f ca="1">SUMIF($B$24:$D$36,G29,$D$24:$D$36)*I29</f>
        <v>231</v>
      </c>
      <c r="L29" s="170" t="s">
        <v>149</v>
      </c>
      <c r="M29" s="171">
        <v>12</v>
      </c>
      <c r="N29" s="171"/>
      <c r="O29" s="234"/>
    </row>
    <row r="30" spans="1:15" x14ac:dyDescent="0.3">
      <c r="A30" s="4">
        <v>7</v>
      </c>
      <c r="B30" s="1" t="s">
        <v>133</v>
      </c>
      <c r="D30" s="204">
        <v>4000</v>
      </c>
      <c r="E30" s="239"/>
      <c r="J30" s="169"/>
      <c r="L30" s="220"/>
      <c r="M30" s="219"/>
      <c r="N30" s="219" t="s">
        <v>3</v>
      </c>
      <c r="O30" s="203">
        <f>SUM(O26:O29)</f>
        <v>2733.3333333333335</v>
      </c>
    </row>
    <row r="31" spans="1:15" x14ac:dyDescent="0.3">
      <c r="A31" s="4">
        <v>8</v>
      </c>
      <c r="B31" s="1" t="s">
        <v>134</v>
      </c>
      <c r="D31" s="204">
        <v>200</v>
      </c>
      <c r="E31" s="239"/>
      <c r="F31" s="77"/>
      <c r="J31" s="169"/>
    </row>
    <row r="32" spans="1:15" x14ac:dyDescent="0.3">
      <c r="A32" s="4">
        <v>9</v>
      </c>
      <c r="B32" s="1" t="s">
        <v>135</v>
      </c>
      <c r="D32" s="204">
        <f>O43*2</f>
        <v>700</v>
      </c>
      <c r="E32" s="239"/>
      <c r="J32" s="169"/>
      <c r="L32" s="1" t="s">
        <v>150</v>
      </c>
    </row>
    <row r="33" spans="1:15" x14ac:dyDescent="0.3">
      <c r="A33" s="4">
        <v>10</v>
      </c>
      <c r="B33" s="1" t="s">
        <v>136</v>
      </c>
      <c r="D33" s="204">
        <f>10000/12</f>
        <v>833.33333333333337</v>
      </c>
      <c r="E33" s="239"/>
      <c r="J33" s="169"/>
      <c r="L33" s="166" t="s">
        <v>151</v>
      </c>
      <c r="M33" s="233">
        <v>12</v>
      </c>
      <c r="N33" s="246">
        <f>9000</f>
        <v>9000</v>
      </c>
      <c r="O33" s="206">
        <f>N33/M33</f>
        <v>750</v>
      </c>
    </row>
    <row r="34" spans="1:15" x14ac:dyDescent="0.3">
      <c r="A34" s="3">
        <v>11</v>
      </c>
      <c r="B34" s="1" t="s">
        <v>137</v>
      </c>
      <c r="D34" s="204">
        <f>4200/12</f>
        <v>350</v>
      </c>
      <c r="E34" s="239"/>
      <c r="F34" s="77"/>
      <c r="J34" s="169"/>
      <c r="L34" s="77"/>
      <c r="M34" s="1">
        <v>12</v>
      </c>
      <c r="N34" s="204"/>
      <c r="O34" s="239">
        <f>N34/M34</f>
        <v>0</v>
      </c>
    </row>
    <row r="35" spans="1:15" x14ac:dyDescent="0.3">
      <c r="A35" s="3">
        <v>12</v>
      </c>
      <c r="B35" s="1" t="s">
        <v>138</v>
      </c>
      <c r="D35" s="204">
        <f>5200/12/2</f>
        <v>216.66666666666666</v>
      </c>
      <c r="E35" s="239"/>
      <c r="F35" s="77"/>
      <c r="G35" s="204"/>
      <c r="H35" s="204"/>
      <c r="I35" s="204"/>
      <c r="J35" s="169"/>
      <c r="L35" s="77"/>
      <c r="M35" s="1">
        <v>12</v>
      </c>
      <c r="N35" s="204"/>
      <c r="O35" s="239">
        <f>N35/M35</f>
        <v>0</v>
      </c>
    </row>
    <row r="36" spans="1:15" x14ac:dyDescent="0.3">
      <c r="A36" s="225">
        <v>13</v>
      </c>
      <c r="B36" s="171" t="s">
        <v>128</v>
      </c>
      <c r="C36" s="171"/>
      <c r="D36" s="240">
        <f>O30</f>
        <v>2733.3333333333335</v>
      </c>
      <c r="E36" s="207"/>
      <c r="F36" s="170"/>
      <c r="G36" s="240"/>
      <c r="H36" s="240"/>
      <c r="I36" s="240"/>
      <c r="J36" s="207"/>
      <c r="L36" s="77"/>
      <c r="M36" s="1">
        <v>12</v>
      </c>
      <c r="N36" s="204"/>
      <c r="O36" s="239">
        <f>N36/M36</f>
        <v>0</v>
      </c>
    </row>
    <row r="37" spans="1:15" x14ac:dyDescent="0.3">
      <c r="A37" s="3"/>
      <c r="D37" s="204"/>
      <c r="E37" s="204"/>
      <c r="G37" s="204"/>
      <c r="H37" s="204"/>
      <c r="I37" s="204"/>
      <c r="J37" s="204"/>
      <c r="L37" s="220" t="s">
        <v>154</v>
      </c>
      <c r="M37" s="219"/>
      <c r="N37" s="219"/>
      <c r="O37" s="203">
        <f>SUM(O33:O36)</f>
        <v>750</v>
      </c>
    </row>
    <row r="38" spans="1:15" x14ac:dyDescent="0.3">
      <c r="A38" s="3"/>
      <c r="B38" s="69" t="s">
        <v>156</v>
      </c>
      <c r="D38" s="204">
        <f>SUM(D24:D36)</f>
        <v>30343.333333333332</v>
      </c>
      <c r="E38" s="204"/>
      <c r="G38" s="69" t="s">
        <v>156</v>
      </c>
      <c r="H38" s="204"/>
      <c r="I38" s="204"/>
      <c r="J38" s="204">
        <f ca="1">SUM(J24:J36)</f>
        <v>4664</v>
      </c>
    </row>
    <row r="39" spans="1:15" ht="18" thickBot="1" x14ac:dyDescent="0.35">
      <c r="A39" s="226"/>
      <c r="B39" s="227" t="s">
        <v>139</v>
      </c>
      <c r="C39" s="229">
        <v>0.21299999999999999</v>
      </c>
      <c r="D39" s="241">
        <f>SUM(D38)*(1+C39)</f>
        <v>36806.463333333333</v>
      </c>
      <c r="E39" s="204"/>
      <c r="F39" s="250"/>
      <c r="G39" s="227" t="s">
        <v>139</v>
      </c>
      <c r="H39" s="227"/>
      <c r="I39" s="248">
        <v>15.5</v>
      </c>
      <c r="J39" s="249">
        <f ca="1">SUM(J38)*(1+I39)</f>
        <v>76956</v>
      </c>
      <c r="L39" s="1" t="s">
        <v>153</v>
      </c>
    </row>
    <row r="40" spans="1:15" ht="18" thickTop="1" x14ac:dyDescent="0.3">
      <c r="A40" s="4"/>
      <c r="C40" s="204"/>
      <c r="D40" s="204"/>
      <c r="E40" s="204"/>
      <c r="H40" s="204"/>
      <c r="I40" s="204"/>
      <c r="L40" s="166" t="s">
        <v>135</v>
      </c>
      <c r="M40" s="233">
        <v>12</v>
      </c>
      <c r="N40" s="246">
        <v>4200</v>
      </c>
      <c r="O40" s="206">
        <f>N40/M40</f>
        <v>350</v>
      </c>
    </row>
    <row r="41" spans="1:15" x14ac:dyDescent="0.3">
      <c r="A41" s="4">
        <v>1</v>
      </c>
      <c r="B41" s="1" t="s">
        <v>140</v>
      </c>
      <c r="C41" s="1">
        <f>J13</f>
        <v>2</v>
      </c>
      <c r="D41" s="204">
        <f>H13*J13</f>
        <v>88000</v>
      </c>
      <c r="E41" s="204"/>
      <c r="F41" s="3">
        <v>1</v>
      </c>
      <c r="G41" s="1" t="s">
        <v>152</v>
      </c>
      <c r="J41" s="204">
        <f>H14</f>
        <v>26400</v>
      </c>
      <c r="L41" s="77"/>
      <c r="O41" s="169"/>
    </row>
    <row r="42" spans="1:15" ht="18" thickBot="1" x14ac:dyDescent="0.35">
      <c r="A42" s="4"/>
      <c r="C42" s="204"/>
      <c r="D42" s="204"/>
      <c r="E42" s="204"/>
      <c r="L42" s="170"/>
      <c r="M42" s="171"/>
      <c r="N42" s="171"/>
      <c r="O42" s="234"/>
    </row>
    <row r="43" spans="1:15" ht="18" thickBot="1" x14ac:dyDescent="0.35">
      <c r="A43" s="4"/>
      <c r="B43" s="222" t="s">
        <v>157</v>
      </c>
      <c r="C43" s="6"/>
      <c r="D43" s="242">
        <f>D39+D41</f>
        <v>124806.46333333333</v>
      </c>
      <c r="E43" s="243"/>
      <c r="F43" s="204"/>
      <c r="G43" s="222" t="s">
        <v>157</v>
      </c>
      <c r="H43" s="6"/>
      <c r="I43" s="6"/>
      <c r="J43" s="242">
        <f ca="1">J39+J41</f>
        <v>103356</v>
      </c>
      <c r="L43" s="220" t="s">
        <v>155</v>
      </c>
      <c r="M43" s="219"/>
      <c r="N43" s="219"/>
      <c r="O43" s="203">
        <f>SUM(O40:O42)</f>
        <v>350</v>
      </c>
    </row>
    <row r="44" spans="1:15" ht="18" thickBot="1" x14ac:dyDescent="0.35">
      <c r="A44" s="4"/>
      <c r="B44" s="69"/>
      <c r="D44" s="243"/>
      <c r="E44" s="243"/>
    </row>
    <row r="45" spans="1:15" ht="18" thickBot="1" x14ac:dyDescent="0.35">
      <c r="A45" s="4"/>
      <c r="B45" s="223" t="s">
        <v>141</v>
      </c>
      <c r="C45" s="6"/>
      <c r="D45" s="244">
        <f>D43/4/5</f>
        <v>6240.323166666667</v>
      </c>
      <c r="E45" s="204"/>
      <c r="F45" s="94"/>
      <c r="G45" s="223" t="s">
        <v>141</v>
      </c>
      <c r="H45" s="6"/>
      <c r="I45" s="6"/>
      <c r="J45" s="244">
        <f ca="1">J43/4/5</f>
        <v>5167.8</v>
      </c>
    </row>
    <row r="46" spans="1:15" ht="18" thickBot="1" x14ac:dyDescent="0.35">
      <c r="A46" s="4"/>
      <c r="B46" s="89" t="s">
        <v>142</v>
      </c>
      <c r="C46" s="228"/>
      <c r="D46" s="245">
        <f>D45/8</f>
        <v>780.04039583333338</v>
      </c>
      <c r="E46" s="204"/>
      <c r="G46" s="89" t="s">
        <v>142</v>
      </c>
      <c r="H46" s="6"/>
      <c r="I46" s="6"/>
      <c r="J46" s="244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0"/>
  <sheetViews>
    <sheetView topLeftCell="A33" zoomScaleNormal="100" workbookViewId="0">
      <selection activeCell="E57" sqref="E56:H5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1.5703125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192"/>
      <c r="B1" s="192"/>
      <c r="C1" s="192"/>
      <c r="D1" s="192"/>
      <c r="E1" s="192"/>
      <c r="F1" s="192"/>
      <c r="G1" s="192"/>
      <c r="H1" s="192"/>
      <c r="I1" s="1"/>
      <c r="J1" s="1"/>
      <c r="K1" s="1"/>
      <c r="L1" s="1"/>
      <c r="M1" s="1"/>
    </row>
    <row r="2" spans="1:13" ht="17.25" x14ac:dyDescent="0.3">
      <c r="A2" s="192"/>
      <c r="B2" s="192"/>
      <c r="C2" s="192"/>
      <c r="D2" s="192"/>
      <c r="E2" s="192"/>
      <c r="F2" s="192"/>
      <c r="G2" s="192"/>
      <c r="H2" s="192"/>
      <c r="I2" s="2"/>
      <c r="J2" s="2"/>
      <c r="K2" s="1"/>
      <c r="L2" s="1"/>
      <c r="M2" s="1"/>
    </row>
    <row r="3" spans="1:13" ht="17.25" x14ac:dyDescent="0.3">
      <c r="A3" s="192"/>
      <c r="B3" s="192"/>
      <c r="C3" s="192"/>
      <c r="D3" s="192"/>
      <c r="E3" s="192"/>
      <c r="F3" s="192"/>
      <c r="G3" s="192"/>
      <c r="H3" s="192"/>
      <c r="I3" s="2"/>
      <c r="J3" s="2"/>
      <c r="K3" s="1"/>
      <c r="L3" s="1"/>
      <c r="M3" s="1"/>
    </row>
    <row r="4" spans="1:13" ht="17.25" x14ac:dyDescent="0.3">
      <c r="A4" s="192"/>
      <c r="B4" s="192"/>
      <c r="C4" s="192"/>
      <c r="D4" s="192"/>
      <c r="E4" s="192"/>
      <c r="F4" s="192"/>
      <c r="G4" s="192"/>
      <c r="H4" s="192"/>
      <c r="I4" s="2"/>
      <c r="J4" s="2"/>
      <c r="K4" s="1"/>
      <c r="L4" s="1"/>
      <c r="M4" s="1"/>
    </row>
    <row r="5" spans="1:13" ht="17.25" x14ac:dyDescent="0.3">
      <c r="A5" s="192"/>
      <c r="B5" s="192"/>
      <c r="C5" s="192"/>
      <c r="D5" s="192"/>
      <c r="E5" s="192"/>
      <c r="F5" s="192"/>
      <c r="G5" s="192"/>
      <c r="H5" s="192"/>
      <c r="I5" s="2"/>
      <c r="J5" s="2"/>
      <c r="K5" s="1"/>
      <c r="L5" s="1"/>
      <c r="M5" s="1"/>
    </row>
    <row r="6" spans="1:13" ht="17.25" x14ac:dyDescent="0.3">
      <c r="A6" s="192"/>
      <c r="B6" s="192"/>
      <c r="C6" s="192"/>
      <c r="D6" s="192"/>
      <c r="E6" s="192"/>
      <c r="F6" s="192"/>
      <c r="G6" s="192"/>
      <c r="H6" s="192"/>
      <c r="I6" s="1"/>
      <c r="J6" s="1"/>
      <c r="K6" s="1"/>
      <c r="L6" s="1"/>
      <c r="M6" s="1"/>
    </row>
    <row r="7" spans="1:13" ht="17.25" x14ac:dyDescent="0.3">
      <c r="A7" s="192"/>
      <c r="B7" s="192"/>
      <c r="C7" s="192"/>
      <c r="D7" s="192"/>
      <c r="E7" s="192"/>
      <c r="F7" s="192"/>
      <c r="G7" s="192"/>
      <c r="H7" s="192"/>
      <c r="I7" s="2"/>
      <c r="J7" s="2"/>
      <c r="K7" s="1"/>
      <c r="L7" s="1"/>
      <c r="M7" s="1"/>
    </row>
    <row r="8" spans="1:13" ht="17.25" x14ac:dyDescent="0.3">
      <c r="A8" s="192"/>
      <c r="B8" s="192"/>
      <c r="C8" s="192"/>
      <c r="D8" s="192"/>
      <c r="E8" s="192"/>
      <c r="F8" s="192"/>
      <c r="G8" s="192"/>
      <c r="H8" s="192"/>
      <c r="I8" s="2"/>
      <c r="J8" s="2"/>
      <c r="K8" s="1"/>
      <c r="L8" s="1"/>
      <c r="M8" s="1"/>
    </row>
    <row r="9" spans="1:13" ht="17.25" x14ac:dyDescent="0.3">
      <c r="A9" s="192"/>
      <c r="B9" s="192"/>
      <c r="C9" s="192"/>
      <c r="D9" s="192"/>
      <c r="E9" s="192"/>
      <c r="F9" s="192"/>
      <c r="G9" s="192"/>
      <c r="H9" s="192"/>
      <c r="I9" s="1"/>
      <c r="K9" s="3"/>
      <c r="L9" s="1"/>
      <c r="M9" s="1"/>
    </row>
    <row r="10" spans="1:13" ht="18" thickBot="1" x14ac:dyDescent="0.35">
      <c r="A10" s="192"/>
      <c r="B10" s="192"/>
      <c r="C10" s="192"/>
      <c r="D10" s="192"/>
      <c r="E10" s="192"/>
      <c r="F10" s="192"/>
      <c r="G10" s="192"/>
      <c r="H10" s="192"/>
      <c r="I10" s="2"/>
      <c r="J10" s="2"/>
      <c r="K10" s="3"/>
      <c r="L10" s="1"/>
      <c r="M10" s="1"/>
    </row>
    <row r="11" spans="1:13" ht="21" thickBot="1" x14ac:dyDescent="0.35">
      <c r="A11" s="296" t="s">
        <v>12</v>
      </c>
      <c r="B11" s="297"/>
      <c r="C11" s="297"/>
      <c r="D11" s="297"/>
      <c r="E11" s="297"/>
      <c r="F11" s="297"/>
      <c r="G11" s="297"/>
      <c r="H11" s="298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9" t="s">
        <v>63</v>
      </c>
      <c r="B13" s="300"/>
      <c r="C13" s="301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2" t="s">
        <v>59</v>
      </c>
      <c r="B14" s="303"/>
      <c r="C14" s="303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77</v>
      </c>
      <c r="B15" s="305"/>
      <c r="C15" s="71"/>
      <c r="D15" s="71"/>
      <c r="E15" s="71"/>
      <c r="F15" s="76">
        <f>SUM(F16:F29)</f>
        <v>40</v>
      </c>
      <c r="G15" s="205">
        <f>SUM(G16:G22)</f>
        <v>5</v>
      </c>
      <c r="H15" s="178">
        <f>SUM(H16:H22)</f>
        <v>31240</v>
      </c>
      <c r="I15" s="1"/>
      <c r="J15" s="289" t="s">
        <v>71</v>
      </c>
      <c r="K15" s="290"/>
      <c r="L15" s="291"/>
      <c r="M15" s="149">
        <f>G15</f>
        <v>5</v>
      </c>
    </row>
    <row r="16" spans="1:13" ht="17.25" x14ac:dyDescent="0.3">
      <c r="A16" s="173" t="s">
        <v>42</v>
      </c>
      <c r="B16" s="295"/>
      <c r="C16" s="295"/>
      <c r="D16" s="60" t="s">
        <v>73</v>
      </c>
      <c r="E16" s="60">
        <f>IF(D16="Dewald", Employees!$G$19,IF(D16="Hannes",Employees!$G$19,IF(D16="Johan",Employees!$G$20,"")))</f>
        <v>781</v>
      </c>
      <c r="F16" s="3">
        <f>8*2</f>
        <v>16</v>
      </c>
      <c r="G16" s="174">
        <f t="shared" ref="G16:G22" si="0">IF(F16="","",F16/8)</f>
        <v>2</v>
      </c>
      <c r="H16" s="176">
        <f t="shared" ref="H16:H20" si="1">IF(E16="","",F16*E16)</f>
        <v>12496</v>
      </c>
      <c r="I16" s="1"/>
      <c r="M16" s="3"/>
    </row>
    <row r="17" spans="1:14" ht="17.25" x14ac:dyDescent="0.3">
      <c r="A17" s="1" t="s">
        <v>102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2*8</f>
        <v>16</v>
      </c>
      <c r="G17" s="174">
        <f t="shared" si="0"/>
        <v>2</v>
      </c>
      <c r="H17" s="176">
        <f t="shared" si="1"/>
        <v>12496</v>
      </c>
      <c r="I17" s="1"/>
      <c r="M17" s="3"/>
    </row>
    <row r="18" spans="1:14" ht="18" thickBot="1" x14ac:dyDescent="0.35">
      <c r="A18" s="1" t="s">
        <v>121</v>
      </c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v>8</v>
      </c>
      <c r="G18" s="174">
        <f t="shared" si="0"/>
        <v>1</v>
      </c>
      <c r="H18" s="176">
        <f t="shared" si="1"/>
        <v>6248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76" t="str">
        <f>IF(C19="","",D19*C19)</f>
        <v/>
      </c>
      <c r="G19" s="174" t="str">
        <f t="shared" si="0"/>
        <v/>
      </c>
      <c r="H19" s="176" t="str">
        <f>IF(E19="","",F19*E19)</f>
        <v/>
      </c>
      <c r="I19" s="1"/>
      <c r="J19" s="292" t="s">
        <v>74</v>
      </c>
      <c r="K19" s="293"/>
      <c r="L19" s="294"/>
      <c r="M19" s="104">
        <f>H26/M15</f>
        <v>6248</v>
      </c>
    </row>
    <row r="20" spans="1:14" ht="17.25" x14ac:dyDescent="0.3">
      <c r="A20" s="173"/>
      <c r="D20" s="60"/>
      <c r="E20" s="60" t="str">
        <f>IF(D20="Dewald", Employees!$G$19,IF(D20="Hannes",Employees!$G$19,IF(D20="Johan",Employees!$G$20,"")))</f>
        <v/>
      </c>
      <c r="F20" s="3"/>
      <c r="G20" s="174" t="str">
        <f t="shared" si="0"/>
        <v/>
      </c>
      <c r="H20" s="176" t="str">
        <f t="shared" si="1"/>
        <v/>
      </c>
      <c r="I20" s="1"/>
      <c r="M20" s="95"/>
    </row>
    <row r="21" spans="1:14" ht="17.25" x14ac:dyDescent="0.3">
      <c r="A21" s="173"/>
      <c r="D21" s="60"/>
      <c r="E21" s="60" t="str">
        <f>IF(D21="Dewald", Employees!$G$19,IF(D21="Hannes",Employees!$G$19,IF(D21="Johan",Employees!$G$20,"")))</f>
        <v/>
      </c>
      <c r="F21" s="3"/>
      <c r="G21" s="174" t="str">
        <f t="shared" si="0"/>
        <v/>
      </c>
      <c r="H21" s="176"/>
      <c r="I21" s="1"/>
      <c r="M21" s="95"/>
    </row>
    <row r="22" spans="1:14" ht="18" thickBot="1" x14ac:dyDescent="0.35">
      <c r="A22" s="1"/>
      <c r="B22" s="1"/>
      <c r="D22" s="60"/>
      <c r="E22" s="60"/>
      <c r="F22" s="3"/>
      <c r="G22" s="174" t="str">
        <f t="shared" si="0"/>
        <v/>
      </c>
      <c r="H22" s="176"/>
      <c r="I22" s="1"/>
    </row>
    <row r="23" spans="1:14" ht="18" thickBot="1" x14ac:dyDescent="0.35">
      <c r="G23" s="174" t="str">
        <f t="shared" ref="G23" si="2">IF(F23="","",F23/8)</f>
        <v/>
      </c>
      <c r="H23" s="150"/>
      <c r="I23" s="1"/>
      <c r="J23" s="99" t="s">
        <v>90</v>
      </c>
      <c r="K23" s="101" t="s">
        <v>84</v>
      </c>
      <c r="L23" s="102" t="s">
        <v>79</v>
      </c>
      <c r="M23" s="103" t="s">
        <v>82</v>
      </c>
      <c r="N23" s="100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75">
        <f>H15</f>
        <v>31240</v>
      </c>
      <c r="I24" s="1"/>
      <c r="J24" s="105">
        <f>H26</f>
        <v>31240</v>
      </c>
      <c r="K24" s="60">
        <f>J24*0.05</f>
        <v>1562</v>
      </c>
      <c r="L24" s="60">
        <f>J24-K24</f>
        <v>29678</v>
      </c>
      <c r="M24" s="105">
        <f>L24-N24</f>
        <v>17312.166666666664</v>
      </c>
      <c r="N24" s="107">
        <f>L24/2.4</f>
        <v>12365.833333333334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75">
        <f>H24*G25</f>
        <v>0</v>
      </c>
      <c r="I25" s="1"/>
      <c r="M25" s="95"/>
    </row>
    <row r="26" spans="1:14" ht="19.5" thickBot="1" x14ac:dyDescent="0.35">
      <c r="A26" s="1"/>
      <c r="B26" s="1"/>
      <c r="C26" s="1"/>
      <c r="D26" s="1"/>
      <c r="F26" s="131" t="s">
        <v>67</v>
      </c>
      <c r="G26" s="132"/>
      <c r="H26" s="177">
        <f>(H24-H25)</f>
        <v>31240</v>
      </c>
      <c r="I26" s="1"/>
      <c r="J26" s="98" t="s">
        <v>81</v>
      </c>
      <c r="K26" s="93"/>
      <c r="L26" s="93"/>
      <c r="M26" s="106">
        <f>M24*0.15</f>
        <v>2596.8249999999994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7" t="s">
        <v>83</v>
      </c>
      <c r="K28" s="93"/>
      <c r="L28" s="93"/>
      <c r="M28" s="106">
        <f>M24-M26</f>
        <v>14715.341666666665</v>
      </c>
    </row>
    <row r="29" spans="1:14" ht="18" thickBot="1" x14ac:dyDescent="0.35">
      <c r="H29" s="150"/>
      <c r="I29" s="1"/>
    </row>
    <row r="30" spans="1:14" ht="19.5" thickBot="1" x14ac:dyDescent="0.35">
      <c r="A30" s="183" t="s">
        <v>69</v>
      </c>
      <c r="B30" s="144"/>
      <c r="C30" s="145"/>
      <c r="D30" s="1"/>
      <c r="E30" s="3"/>
      <c r="F30" s="1"/>
      <c r="G30" s="1"/>
      <c r="H30" s="1"/>
      <c r="I30" s="1"/>
      <c r="J30" s="1"/>
      <c r="K30" s="92"/>
      <c r="M30" s="95"/>
    </row>
    <row r="31" spans="1:14" ht="18" thickBot="1" x14ac:dyDescent="0.35">
      <c r="A31" s="127" t="s">
        <v>59</v>
      </c>
      <c r="B31" s="118"/>
      <c r="C31" s="118"/>
      <c r="D31" s="118"/>
      <c r="E31" s="118"/>
      <c r="F31" s="118"/>
      <c r="G31" s="188"/>
      <c r="H31" s="119"/>
    </row>
    <row r="32" spans="1:14" ht="18" thickBot="1" x14ac:dyDescent="0.35">
      <c r="I32" s="1"/>
      <c r="J32" s="152" t="s">
        <v>97</v>
      </c>
      <c r="K32" s="152" t="s">
        <v>98</v>
      </c>
      <c r="L32" s="152" t="s">
        <v>99</v>
      </c>
      <c r="M32" s="60"/>
    </row>
    <row r="33" spans="1:13" ht="18" thickBot="1" x14ac:dyDescent="0.35">
      <c r="A33" s="146" t="s">
        <v>77</v>
      </c>
      <c r="B33" s="147"/>
      <c r="C33" s="71"/>
      <c r="D33" s="118" t="s">
        <v>61</v>
      </c>
      <c r="E33" s="118" t="s">
        <v>68</v>
      </c>
      <c r="F33" s="118" t="s">
        <v>70</v>
      </c>
      <c r="G33" s="187"/>
      <c r="H33" s="178">
        <f>SUM(H34:H38)</f>
        <v>33300</v>
      </c>
      <c r="I33" s="1"/>
      <c r="J33" s="153" t="s">
        <v>94</v>
      </c>
      <c r="K33" s="154">
        <v>0.6</v>
      </c>
      <c r="L33" s="155">
        <f>J24*K33</f>
        <v>18744</v>
      </c>
    </row>
    <row r="34" spans="1:13" ht="17.25" x14ac:dyDescent="0.3">
      <c r="A34" s="173" t="s">
        <v>42</v>
      </c>
      <c r="B34" s="173"/>
      <c r="C34" s="1"/>
      <c r="D34" s="60" t="s">
        <v>73</v>
      </c>
      <c r="E34" s="5">
        <v>110</v>
      </c>
      <c r="F34" s="1">
        <v>150</v>
      </c>
      <c r="G34" s="70"/>
      <c r="H34" s="176">
        <f>F34*E34</f>
        <v>16500</v>
      </c>
      <c r="I34" s="1"/>
      <c r="J34" s="153" t="s">
        <v>95</v>
      </c>
      <c r="K34" s="154">
        <v>0.32</v>
      </c>
      <c r="L34" s="155">
        <f>J24*K34</f>
        <v>9996.8000000000011</v>
      </c>
    </row>
    <row r="35" spans="1:13" ht="18" thickBot="1" x14ac:dyDescent="0.35">
      <c r="A35" s="173" t="s">
        <v>102</v>
      </c>
      <c r="B35" s="173"/>
      <c r="C35" s="1"/>
      <c r="D35" s="60" t="s">
        <v>73</v>
      </c>
      <c r="E35" s="5">
        <v>100</v>
      </c>
      <c r="F35" s="1">
        <v>150</v>
      </c>
      <c r="G35" s="70"/>
      <c r="H35" s="176">
        <f t="shared" ref="H35:H36" si="3">F35*E35</f>
        <v>15000</v>
      </c>
      <c r="J35" s="156" t="s">
        <v>96</v>
      </c>
      <c r="K35" s="157">
        <v>0.08</v>
      </c>
      <c r="L35" s="158">
        <f>J24*K35</f>
        <v>2499.2000000000003</v>
      </c>
      <c r="M35" s="1"/>
    </row>
    <row r="36" spans="1:13" ht="18" thickBot="1" x14ac:dyDescent="0.35">
      <c r="A36" s="173" t="s">
        <v>78</v>
      </c>
      <c r="B36" s="173"/>
      <c r="C36" s="1"/>
      <c r="D36" s="60" t="s">
        <v>73</v>
      </c>
      <c r="E36" s="5">
        <v>12</v>
      </c>
      <c r="F36" s="1">
        <v>150</v>
      </c>
      <c r="G36" s="70"/>
      <c r="H36" s="176">
        <f t="shared" si="3"/>
        <v>1800</v>
      </c>
      <c r="J36" s="159" t="s">
        <v>3</v>
      </c>
      <c r="K36" s="160">
        <f>SUM(K33:K35)</f>
        <v>0.99999999999999989</v>
      </c>
      <c r="L36" s="151">
        <f>SUM(L33:L35)</f>
        <v>31240.000000000004</v>
      </c>
      <c r="M36" s="1"/>
    </row>
    <row r="37" spans="1:13" ht="17.25" x14ac:dyDescent="0.3">
      <c r="A37" s="173" t="s">
        <v>106</v>
      </c>
      <c r="B37" s="173"/>
      <c r="D37" s="60" t="s">
        <v>73</v>
      </c>
      <c r="E37" s="5">
        <v>10</v>
      </c>
      <c r="F37" s="1">
        <v>0</v>
      </c>
      <c r="G37" s="1"/>
      <c r="H37" s="176">
        <f>F37*E37</f>
        <v>0</v>
      </c>
      <c r="M37" s="1"/>
    </row>
    <row r="38" spans="1:13" ht="17.25" x14ac:dyDescent="0.3">
      <c r="A38" s="173" t="s">
        <v>109</v>
      </c>
      <c r="B38" s="173"/>
      <c r="D38" s="60" t="s">
        <v>73</v>
      </c>
      <c r="E38" s="5">
        <v>12</v>
      </c>
      <c r="F38" s="1">
        <v>0</v>
      </c>
      <c r="G38" s="1"/>
      <c r="H38" s="176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103</v>
      </c>
      <c r="G40" s="73"/>
      <c r="H40" s="175">
        <f>H33</f>
        <v>33300</v>
      </c>
      <c r="J40" s="150"/>
      <c r="M40" s="1"/>
    </row>
    <row r="41" spans="1:13" ht="18.75" thickBot="1" x14ac:dyDescent="0.35">
      <c r="A41" s="73"/>
      <c r="B41" s="73"/>
      <c r="C41" s="73"/>
      <c r="E41" s="130"/>
      <c r="F41" s="91" t="s">
        <v>75</v>
      </c>
      <c r="G41" s="74">
        <v>0</v>
      </c>
      <c r="H41" s="4"/>
      <c r="J41" s="150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77">
        <f>H40</f>
        <v>33300</v>
      </c>
      <c r="L42" s="1"/>
      <c r="M42" s="92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84" t="s">
        <v>65</v>
      </c>
      <c r="B46" s="185"/>
      <c r="C46" s="186"/>
      <c r="D46" s="1"/>
      <c r="E46" s="1"/>
      <c r="F46" s="1"/>
      <c r="G46" s="1"/>
      <c r="H46" s="1"/>
    </row>
    <row r="47" spans="1:13" ht="18" thickBot="1" x14ac:dyDescent="0.35">
      <c r="A47" s="127" t="s">
        <v>13</v>
      </c>
      <c r="B47" s="118"/>
      <c r="C47" s="118"/>
      <c r="D47" s="180"/>
      <c r="E47" s="181"/>
      <c r="F47" s="118" t="s">
        <v>68</v>
      </c>
      <c r="G47" s="181" t="s">
        <v>14</v>
      </c>
      <c r="H47" s="182" t="s">
        <v>88</v>
      </c>
    </row>
    <row r="48" spans="1:13" ht="17.25" x14ac:dyDescent="0.3">
      <c r="A48" s="14"/>
      <c r="B48" s="14"/>
      <c r="C48" s="14"/>
      <c r="D48" s="14"/>
      <c r="E48" s="148"/>
      <c r="F48" s="148"/>
      <c r="G48" s="121"/>
      <c r="H48" s="148"/>
    </row>
    <row r="49" spans="1:12" ht="17.25" x14ac:dyDescent="0.3">
      <c r="A49" s="1" t="s">
        <v>163</v>
      </c>
      <c r="B49" s="61"/>
      <c r="C49" s="4"/>
      <c r="D49" s="1"/>
      <c r="E49" s="60"/>
      <c r="F49" s="60"/>
      <c r="G49" s="3"/>
      <c r="H49" s="60">
        <f>2755032.5/1.1</f>
        <v>2504575</v>
      </c>
    </row>
    <row r="50" spans="1:12" ht="17.25" x14ac:dyDescent="0.3">
      <c r="A50" s="1" t="s">
        <v>164</v>
      </c>
      <c r="B50" s="61"/>
      <c r="F50" s="60"/>
      <c r="G50" s="3"/>
      <c r="H50" s="60">
        <f>1617739.2/1.1</f>
        <v>1470671.9999999998</v>
      </c>
    </row>
    <row r="51" spans="1:12" ht="17.25" x14ac:dyDescent="0.3">
      <c r="A51" s="1" t="s">
        <v>165</v>
      </c>
      <c r="B51" s="61"/>
      <c r="F51" s="60"/>
      <c r="G51" s="3"/>
      <c r="H51" s="60">
        <f>2448591.2/1.1</f>
        <v>2225992</v>
      </c>
    </row>
    <row r="52" spans="1:12" ht="17.25" x14ac:dyDescent="0.3">
      <c r="A52" s="1"/>
    </row>
    <row r="53" spans="1:12" ht="18" thickBot="1" x14ac:dyDescent="0.35">
      <c r="A53" s="1"/>
      <c r="B53" s="1"/>
      <c r="C53" s="1"/>
      <c r="D53" s="1" t="s">
        <v>120</v>
      </c>
      <c r="E53" s="60"/>
      <c r="F53" s="60"/>
      <c r="G53" s="3"/>
      <c r="H53" s="60"/>
    </row>
    <row r="54" spans="1:12" ht="18" thickBot="1" x14ac:dyDescent="0.35">
      <c r="A54" s="1"/>
      <c r="B54" s="1"/>
      <c r="C54" s="1"/>
      <c r="D54" s="1"/>
      <c r="E54" s="117"/>
      <c r="F54" s="62" t="s">
        <v>3</v>
      </c>
      <c r="G54" s="63">
        <f>SUM(G48:G52)</f>
        <v>0</v>
      </c>
      <c r="H54" s="96">
        <f>SUM(H48:H53)</f>
        <v>6201239</v>
      </c>
    </row>
    <row r="55" spans="1:12" ht="15.75" thickBot="1" x14ac:dyDescent="0.3"/>
    <row r="56" spans="1:12" ht="19.5" thickBot="1" x14ac:dyDescent="0.35">
      <c r="A56" s="194" t="s">
        <v>35</v>
      </c>
      <c r="B56" s="189"/>
      <c r="C56" s="189"/>
      <c r="D56" s="189"/>
      <c r="E56" s="285">
        <f>H54</f>
        <v>6201239</v>
      </c>
      <c r="F56" s="286"/>
      <c r="G56" s="286"/>
      <c r="H56" s="287"/>
      <c r="I56" s="1"/>
    </row>
    <row r="57" spans="1:12" ht="18.75" x14ac:dyDescent="0.3">
      <c r="A57" s="191" t="s">
        <v>85</v>
      </c>
      <c r="B57" s="190"/>
      <c r="C57" s="190"/>
      <c r="D57" s="190"/>
      <c r="E57" s="288" t="s">
        <v>110</v>
      </c>
      <c r="F57" s="288"/>
      <c r="G57" s="288"/>
      <c r="H57" s="288"/>
    </row>
    <row r="58" spans="1:12" ht="15.75" thickBot="1" x14ac:dyDescent="0.3"/>
    <row r="59" spans="1:12" ht="20.25" thickBot="1" x14ac:dyDescent="0.3">
      <c r="A59" s="193" t="s">
        <v>44</v>
      </c>
      <c r="B59" s="59"/>
      <c r="C59" s="59"/>
      <c r="D59" s="59"/>
      <c r="E59" s="59"/>
      <c r="F59" s="59"/>
      <c r="G59" s="59"/>
      <c r="H59" s="126"/>
    </row>
    <row r="61" spans="1:12" ht="17.25" x14ac:dyDescent="0.25">
      <c r="A61" s="123" t="s">
        <v>21</v>
      </c>
      <c r="B61" s="124"/>
      <c r="C61" s="124"/>
      <c r="D61" s="125"/>
      <c r="E61" s="196">
        <f>IF($E$57="Medium",IF($E$56&gt;Data!D48,IF($E$56&gt;Data!D49,IF($E$56&gt;Data!D50,IF($E$56&gt;Data!D51,IF($E$56&gt;Data!D52,IF($E$56&gt;Data!D53,IF($E$56&gt;Data!D54,IF($E$56&gt;Data!D55,IF($E$56&gt;Data!D56,IF($E$56&gt;Data!D57,IF($E$56&gt;Data!D58,Data!E59,Data!E58),Data!E57),Data!E56),Data!E55),Data!E54),Data!E53),Data!E52),Data!E51),Data!E50),Data!E49),Data!E48),IF($E$57="High",(IF($E$56&gt;Data!D29,IF($E$56&gt;Data!D30,IF($E$56&gt;Data!D31,IF($E$56&gt;Data!D32,IF($E$56&gt;Data!D33,IF($E$56&gt;Data!D34,IF($E$56&gt;Data!D35,IF($E$56&gt;Data!D36,IF($E$56&gt;Data!D37,IF($E$56&gt;Data!D38,IF($E$56&gt;Data!D39,Data!E40,Data!E39),Data!E37),Data!E36),Data!E35),Data!E34),Data!E33),Data!E52),Data!E32),Data!E31),Data!E30),Data!E29)),IF($E$57="Low",(IF($E$56&gt;Data!D67,IF($E$56&gt;Data!D68,IF($E$56&gt;Data!D69,IF($E$56&gt;Data!D70,IF($E$56&gt;Data!D71,IF($E$56&gt;Data!D72,IF($E$56&gt;Data!D73,IF($E$56&gt;Data!D74,IF($E$56&gt;Data!D75,IF($E$56&gt;Data!D76,IF($E$56&gt;Data!D77,Data!E78,Data!E77),Data!E76),Data!E75),Data!E74),Data!E73),Data!E72),Data!E71),Data!E70),Data!E69),Data!E68),Data!E67)))))</f>
        <v>606078.35</v>
      </c>
      <c r="F61" s="128"/>
      <c r="G61" s="128"/>
      <c r="H61" s="129"/>
    </row>
    <row r="62" spans="1:12" ht="17.25" x14ac:dyDescent="0.25">
      <c r="A62" s="133" t="s">
        <v>49</v>
      </c>
      <c r="B62" s="61"/>
      <c r="C62" s="61"/>
      <c r="D62" s="134"/>
      <c r="E62" s="197">
        <f>IF($E$57="Medium",($E$56-(VLOOKUP($E$61,Data!E48:G59,3,FALSE)))*(VLOOKUP($E$61,Data!E48:G59,2,FALSE)),IF($E$57="High",($E$56-(VLOOKUP($E$61,Data!E29:G40,3,FALSE)))*(VLOOKUP($E$61,Data!E29:G40,2,FALSE)),IF($E$57="Low",($E$56-(VLOOKUP($E$61,Data!E66:G78,3,FALSE)))*(VLOOKUP($E$61,Data!E66:G78,2,FALSE)))))</f>
        <v>277796.23560000001</v>
      </c>
      <c r="F62" s="79"/>
      <c r="G62" s="79"/>
      <c r="H62" s="138"/>
    </row>
    <row r="63" spans="1:12" ht="17.25" x14ac:dyDescent="0.25">
      <c r="A63" s="133"/>
      <c r="B63" s="61"/>
      <c r="C63" s="61"/>
      <c r="D63" s="134"/>
      <c r="E63" s="197">
        <f>E61+E62</f>
        <v>883874.58559999999</v>
      </c>
      <c r="F63" s="79"/>
      <c r="G63" s="79"/>
      <c r="H63" s="138"/>
      <c r="L63" s="150"/>
    </row>
    <row r="64" spans="1:12" ht="17.25" x14ac:dyDescent="0.25">
      <c r="A64" s="133" t="s">
        <v>52</v>
      </c>
      <c r="B64" s="61"/>
      <c r="C64" s="61"/>
      <c r="D64" s="134"/>
      <c r="E64" s="198">
        <v>0</v>
      </c>
      <c r="F64" s="4"/>
      <c r="G64" s="4"/>
      <c r="H64" s="141"/>
      <c r="L64" s="150"/>
    </row>
    <row r="65" spans="1:12" ht="18" x14ac:dyDescent="0.25">
      <c r="A65" s="135" t="s">
        <v>54</v>
      </c>
      <c r="B65" s="136"/>
      <c r="C65" s="136"/>
      <c r="D65" s="137"/>
      <c r="E65" s="199">
        <f>E63+E64</f>
        <v>883874.58559999999</v>
      </c>
      <c r="F65" s="139"/>
      <c r="G65" s="139"/>
      <c r="H65" s="140"/>
      <c r="L65" s="150">
        <f>SUM(H68:H72)</f>
        <v>592195.97235199995</v>
      </c>
    </row>
    <row r="66" spans="1:12" ht="15.75" thickBot="1" x14ac:dyDescent="0.3">
      <c r="J66" t="s">
        <v>66</v>
      </c>
      <c r="K66" s="252">
        <v>0.01</v>
      </c>
      <c r="L66" s="150">
        <f>L65-(L65*K66)</f>
        <v>586274.01262847998</v>
      </c>
    </row>
    <row r="67" spans="1:12" ht="19.5" thickBot="1" x14ac:dyDescent="0.35">
      <c r="A67" s="195" t="s">
        <v>36</v>
      </c>
      <c r="B67" s="142"/>
      <c r="C67" s="142"/>
      <c r="D67" s="143"/>
      <c r="E67" s="111" t="s">
        <v>37</v>
      </c>
      <c r="F67" s="111" t="s">
        <v>108</v>
      </c>
      <c r="G67" s="120" t="s">
        <v>66</v>
      </c>
      <c r="H67" s="111" t="s">
        <v>107</v>
      </c>
      <c r="L67" s="150"/>
    </row>
    <row r="68" spans="1:12" ht="17.25" x14ac:dyDescent="0.3">
      <c r="A68" s="84" t="s">
        <v>115</v>
      </c>
      <c r="B68" s="121" t="s">
        <v>119</v>
      </c>
      <c r="C68" s="121"/>
      <c r="D68" s="121"/>
      <c r="E68" s="108">
        <v>0.02</v>
      </c>
      <c r="F68" s="83">
        <f>$E$65*E68</f>
        <v>17677.491711999999</v>
      </c>
      <c r="G68" s="108">
        <v>0</v>
      </c>
      <c r="H68" s="109">
        <f>IF(G68=0,F68,F68-(F68*G68))</f>
        <v>17677.491711999999</v>
      </c>
      <c r="J68" t="s">
        <v>42</v>
      </c>
      <c r="K68" s="115">
        <v>0.2</v>
      </c>
      <c r="L68" s="150">
        <f>$L$66*K68</f>
        <v>117254.802525696</v>
      </c>
    </row>
    <row r="69" spans="1:12" ht="17.25" x14ac:dyDescent="0.3">
      <c r="A69" s="88" t="s">
        <v>114</v>
      </c>
      <c r="B69" s="3" t="s">
        <v>117</v>
      </c>
      <c r="C69" s="3"/>
      <c r="D69" s="3"/>
      <c r="E69" s="201">
        <v>0.15</v>
      </c>
      <c r="F69" s="5">
        <f t="shared" ref="F69:F74" si="4">$E$65*E69</f>
        <v>132581.18784</v>
      </c>
      <c r="G69" s="201">
        <v>0</v>
      </c>
      <c r="H69" s="87">
        <f t="shared" ref="H69:H74" si="5">IF(G69=0,F69,F69-(F69*G69))</f>
        <v>132581.18784</v>
      </c>
      <c r="J69" t="s">
        <v>158</v>
      </c>
      <c r="K69" s="115">
        <v>0.25</v>
      </c>
      <c r="L69" s="150">
        <f>$L$66*K69</f>
        <v>146568.50315711999</v>
      </c>
    </row>
    <row r="70" spans="1:12" ht="17.25" x14ac:dyDescent="0.3">
      <c r="A70" s="88" t="s">
        <v>113</v>
      </c>
      <c r="B70" s="3" t="s">
        <v>116</v>
      </c>
      <c r="C70" s="3"/>
      <c r="D70" s="3"/>
      <c r="E70" s="201">
        <v>0.2</v>
      </c>
      <c r="F70" s="5">
        <f t="shared" si="4"/>
        <v>176774.91712</v>
      </c>
      <c r="G70" s="201">
        <v>0</v>
      </c>
      <c r="H70" s="87">
        <f t="shared" si="5"/>
        <v>176774.91712</v>
      </c>
      <c r="J70" s="251" t="s">
        <v>45</v>
      </c>
      <c r="K70" s="115">
        <v>0.3</v>
      </c>
      <c r="L70" s="150">
        <f>$L$66*K70</f>
        <v>175882.20378854399</v>
      </c>
    </row>
    <row r="71" spans="1:12" ht="17.25" x14ac:dyDescent="0.3">
      <c r="A71" s="88" t="s">
        <v>45</v>
      </c>
      <c r="B71" s="3" t="s">
        <v>46</v>
      </c>
      <c r="C71" s="3"/>
      <c r="D71" s="3"/>
      <c r="E71" s="201">
        <v>0.1</v>
      </c>
      <c r="F71" s="5">
        <f t="shared" si="4"/>
        <v>88387.458559999999</v>
      </c>
      <c r="G71" s="201">
        <v>0</v>
      </c>
      <c r="H71" s="87">
        <f t="shared" si="5"/>
        <v>88387.458559999999</v>
      </c>
      <c r="J71" s="251" t="s">
        <v>159</v>
      </c>
      <c r="K71" s="115">
        <v>0.2</v>
      </c>
      <c r="L71" s="150">
        <f>$L$66*K71</f>
        <v>117254.802525696</v>
      </c>
    </row>
    <row r="72" spans="1:12" ht="17.25" x14ac:dyDescent="0.3">
      <c r="A72" s="88" t="s">
        <v>57</v>
      </c>
      <c r="B72" s="3" t="s">
        <v>47</v>
      </c>
      <c r="C72" s="3"/>
      <c r="D72" s="3"/>
      <c r="E72" s="201">
        <v>0.2</v>
      </c>
      <c r="F72" s="5">
        <f t="shared" si="4"/>
        <v>176774.91712</v>
      </c>
      <c r="G72" s="201">
        <v>0</v>
      </c>
      <c r="H72" s="87">
        <f>IF(G72=0,F72,F72-(F72*G72))</f>
        <v>176774.91712</v>
      </c>
      <c r="L72" s="150"/>
    </row>
    <row r="73" spans="1:12" ht="17.25" x14ac:dyDescent="0.3">
      <c r="A73" s="88" t="s">
        <v>50</v>
      </c>
      <c r="B73" s="3" t="s">
        <v>118</v>
      </c>
      <c r="C73" s="3"/>
      <c r="D73" s="3"/>
      <c r="E73" s="201">
        <v>0.3</v>
      </c>
      <c r="F73" s="5">
        <f t="shared" si="4"/>
        <v>265162.37568</v>
      </c>
      <c r="G73" s="201">
        <v>0</v>
      </c>
      <c r="H73" s="87">
        <f>IF(G73=0,F73,F73-(F73*G73))</f>
        <v>265162.37568</v>
      </c>
      <c r="J73" s="251" t="s">
        <v>160</v>
      </c>
      <c r="K73" s="150">
        <f>K74</f>
        <v>781</v>
      </c>
      <c r="L73" s="150">
        <f>K73*4*4*6</f>
        <v>74976</v>
      </c>
    </row>
    <row r="74" spans="1:12" ht="18" thickBot="1" x14ac:dyDescent="0.35">
      <c r="A74" s="89" t="s">
        <v>112</v>
      </c>
      <c r="B74" s="122" t="s">
        <v>111</v>
      </c>
      <c r="C74" s="122"/>
      <c r="D74" s="122"/>
      <c r="E74" s="110">
        <v>0.03</v>
      </c>
      <c r="F74" s="85">
        <f t="shared" si="4"/>
        <v>26516.237568</v>
      </c>
      <c r="G74" s="110">
        <v>0</v>
      </c>
      <c r="H74" s="86">
        <f t="shared" si="5"/>
        <v>26516.237568</v>
      </c>
      <c r="J74" s="253" t="s">
        <v>161</v>
      </c>
      <c r="K74" s="150">
        <v>781</v>
      </c>
      <c r="L74" s="150">
        <f>K74*24</f>
        <v>18744</v>
      </c>
    </row>
    <row r="75" spans="1:12" ht="18" thickBot="1" x14ac:dyDescent="0.35">
      <c r="A75" s="1"/>
      <c r="B75" s="1"/>
      <c r="C75" s="1"/>
      <c r="F75" s="1"/>
      <c r="G75" s="3"/>
      <c r="H75" s="1"/>
      <c r="J75" s="92"/>
      <c r="K75" s="92"/>
      <c r="L75" s="150"/>
    </row>
    <row r="76" spans="1:12" ht="19.5" thickBot="1" x14ac:dyDescent="0.35">
      <c r="A76" s="1"/>
      <c r="B76" s="1"/>
      <c r="C76" s="1"/>
      <c r="E76" s="278" t="s">
        <v>91</v>
      </c>
      <c r="F76" s="279"/>
      <c r="G76" s="280"/>
      <c r="H76" s="116">
        <f>H77*(1-(SUM(H68:H74)/H77))</f>
        <v>0</v>
      </c>
      <c r="J76" s="92"/>
      <c r="L76" s="150">
        <f>SUM(L68:L74)</f>
        <v>650680.31199705601</v>
      </c>
    </row>
    <row r="77" spans="1:12" ht="19.5" thickBot="1" x14ac:dyDescent="0.35">
      <c r="B77" s="112"/>
      <c r="C77" s="112"/>
      <c r="E77" s="278" t="s">
        <v>53</v>
      </c>
      <c r="F77" s="279"/>
      <c r="G77" s="280"/>
      <c r="H77" s="116">
        <f>SUM(F68:F74)</f>
        <v>883874.58559999999</v>
      </c>
    </row>
    <row r="78" spans="1:12" ht="15.75" thickBot="1" x14ac:dyDescent="0.3">
      <c r="J78" s="92" t="s">
        <v>162</v>
      </c>
      <c r="K78" s="92">
        <f>H54*0.05</f>
        <v>310061.95</v>
      </c>
      <c r="L78" s="92">
        <f>K78/6</f>
        <v>51676.991666666669</v>
      </c>
    </row>
    <row r="79" spans="1:12" ht="18.75" thickBot="1" x14ac:dyDescent="0.3">
      <c r="E79" s="281" t="s">
        <v>104</v>
      </c>
      <c r="F79" s="282"/>
      <c r="G79" s="283"/>
      <c r="H79" s="113">
        <f>H77-H76</f>
        <v>883874.58559999999</v>
      </c>
      <c r="K79" s="92"/>
    </row>
    <row r="80" spans="1:12" ht="17.25" x14ac:dyDescent="0.3">
      <c r="A80" s="1"/>
      <c r="B80" s="200"/>
      <c r="C80" s="179"/>
      <c r="D80" s="179"/>
      <c r="E80" s="60"/>
      <c r="F80" s="161"/>
      <c r="G80" s="4"/>
      <c r="H80" s="79"/>
      <c r="K80" s="92"/>
    </row>
    <row r="81" spans="4:13" x14ac:dyDescent="0.25">
      <c r="K81" s="92"/>
    </row>
    <row r="82" spans="4:13" x14ac:dyDescent="0.25">
      <c r="D82" s="284"/>
      <c r="E82" s="284"/>
    </row>
    <row r="83" spans="4:13" x14ac:dyDescent="0.25">
      <c r="H83" s="92">
        <f>SUM(H73:H74)/1.1</f>
        <v>265162.37567999994</v>
      </c>
      <c r="L83" s="150"/>
    </row>
    <row r="84" spans="4:13" x14ac:dyDescent="0.25">
      <c r="D84" s="284"/>
      <c r="E84" s="284"/>
      <c r="H84">
        <v>265162.37567999994</v>
      </c>
      <c r="K84" s="150"/>
      <c r="L84" s="92"/>
      <c r="M84" s="150"/>
    </row>
    <row r="85" spans="4:13" x14ac:dyDescent="0.25">
      <c r="K85" s="150"/>
    </row>
    <row r="86" spans="4:13" x14ac:dyDescent="0.25">
      <c r="D86" s="284"/>
      <c r="E86" s="284"/>
      <c r="F86" s="284"/>
      <c r="G86" s="284"/>
      <c r="K86" s="150"/>
    </row>
    <row r="87" spans="4:13" x14ac:dyDescent="0.25">
      <c r="D87" s="284"/>
      <c r="E87" s="284"/>
      <c r="F87" s="284"/>
      <c r="G87" s="284"/>
    </row>
    <row r="88" spans="4:13" x14ac:dyDescent="0.25">
      <c r="D88" s="284"/>
      <c r="E88" s="284"/>
      <c r="F88" s="284"/>
      <c r="G88" s="284"/>
    </row>
    <row r="89" spans="4:13" x14ac:dyDescent="0.25">
      <c r="D89" s="284"/>
      <c r="E89" s="284"/>
      <c r="F89" s="284"/>
      <c r="G89" s="284"/>
    </row>
    <row r="90" spans="4:13" x14ac:dyDescent="0.25">
      <c r="D90" s="284"/>
      <c r="E90" s="284"/>
      <c r="F90" s="284"/>
      <c r="G90" s="284"/>
    </row>
    <row r="91" spans="4:13" x14ac:dyDescent="0.25">
      <c r="D91" s="284"/>
      <c r="E91" s="284"/>
      <c r="F91" s="284"/>
      <c r="G91" s="284"/>
    </row>
    <row r="92" spans="4:13" x14ac:dyDescent="0.25">
      <c r="D92" s="284"/>
      <c r="E92" s="284"/>
      <c r="F92" s="284"/>
      <c r="G92" s="284"/>
    </row>
    <row r="93" spans="4:13" x14ac:dyDescent="0.25">
      <c r="D93" s="284"/>
      <c r="E93" s="284"/>
      <c r="F93" s="284"/>
      <c r="G93" s="284"/>
    </row>
    <row r="95" spans="4:13" ht="22.5" customHeight="1" x14ac:dyDescent="0.25">
      <c r="D95" s="284"/>
      <c r="E95" s="284"/>
      <c r="F95" s="284"/>
      <c r="G95" s="284"/>
    </row>
    <row r="97" spans="4:14" x14ac:dyDescent="0.25">
      <c r="J97" s="202"/>
      <c r="L97" s="150"/>
    </row>
    <row r="98" spans="4:14" x14ac:dyDescent="0.25">
      <c r="L98" s="202"/>
      <c r="M98" s="150"/>
    </row>
    <row r="100" spans="4:14" x14ac:dyDescent="0.25">
      <c r="M100" s="92"/>
    </row>
    <row r="103" spans="4:14" x14ac:dyDescent="0.25">
      <c r="N103" s="150"/>
    </row>
    <row r="106" spans="4:14" x14ac:dyDescent="0.25">
      <c r="K106" s="115"/>
    </row>
    <row r="107" spans="4:14" x14ac:dyDescent="0.25">
      <c r="K107" s="114"/>
    </row>
    <row r="108" spans="4:14" x14ac:dyDescent="0.25">
      <c r="D108" s="284"/>
      <c r="E108" s="284"/>
    </row>
    <row r="109" spans="4:14" x14ac:dyDescent="0.25">
      <c r="D109" s="284"/>
      <c r="E109" s="284"/>
    </row>
    <row r="110" spans="4:14" x14ac:dyDescent="0.25">
      <c r="D110" s="284"/>
      <c r="E110" s="284"/>
    </row>
  </sheetData>
  <mergeCells count="35">
    <mergeCell ref="J15:L15"/>
    <mergeCell ref="J19:L19"/>
    <mergeCell ref="B16:C16"/>
    <mergeCell ref="A11:H11"/>
    <mergeCell ref="A13:C13"/>
    <mergeCell ref="A14:C14"/>
    <mergeCell ref="A15:B15"/>
    <mergeCell ref="D110:E110"/>
    <mergeCell ref="D108:E108"/>
    <mergeCell ref="E76:G76"/>
    <mergeCell ref="E56:H56"/>
    <mergeCell ref="E57:H57"/>
    <mergeCell ref="F86:G86"/>
    <mergeCell ref="F87:G87"/>
    <mergeCell ref="F88:G88"/>
    <mergeCell ref="F89:G89"/>
    <mergeCell ref="F90:G90"/>
    <mergeCell ref="F91:G91"/>
    <mergeCell ref="F92:G92"/>
    <mergeCell ref="D95:E95"/>
    <mergeCell ref="D86:E86"/>
    <mergeCell ref="D84:E84"/>
    <mergeCell ref="D82:E82"/>
    <mergeCell ref="E77:G77"/>
    <mergeCell ref="E79:G79"/>
    <mergeCell ref="D109:E109"/>
    <mergeCell ref="D87:E87"/>
    <mergeCell ref="D88:E88"/>
    <mergeCell ref="D89:E89"/>
    <mergeCell ref="D90:E90"/>
    <mergeCell ref="D91:E91"/>
    <mergeCell ref="D92:E92"/>
    <mergeCell ref="F95:G95"/>
    <mergeCell ref="D93:E93"/>
    <mergeCell ref="F93:G93"/>
  </mergeCells>
  <phoneticPr fontId="24" type="noConversion"/>
  <dataValidations count="2">
    <dataValidation type="list" allowBlank="1" showInputMessage="1" showErrorMessage="1" sqref="E57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123"/>
  <sheetViews>
    <sheetView topLeftCell="B1" zoomScale="85" zoomScaleNormal="85" workbookViewId="0">
      <selection activeCell="F16" sqref="F1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3.425781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6201239</v>
      </c>
      <c r="M9"/>
      <c r="N9" s="67" t="s">
        <v>42</v>
      </c>
      <c r="O9" s="9" t="s">
        <v>43</v>
      </c>
      <c r="P9" s="31">
        <v>0.4</v>
      </c>
      <c r="Q9" s="32">
        <f>C18*P9</f>
        <v>353549.83424</v>
      </c>
      <c r="R9" s="33">
        <v>0</v>
      </c>
      <c r="S9" s="34">
        <f>Q9-W9</f>
        <v>353549.83424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110</v>
      </c>
      <c r="M10"/>
      <c r="N10" s="65" t="s">
        <v>45</v>
      </c>
      <c r="O10" s="38" t="s">
        <v>46</v>
      </c>
      <c r="P10" s="39">
        <v>0.2</v>
      </c>
      <c r="Q10" s="40">
        <f>C18*P10</f>
        <v>176774.91712</v>
      </c>
      <c r="R10" s="41">
        <v>0</v>
      </c>
      <c r="S10" s="42">
        <f>Q10-W10</f>
        <v>176774.91712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88387.458559999999</v>
      </c>
      <c r="R11" s="41">
        <v>0</v>
      </c>
      <c r="S11" s="42">
        <f>Q11-W11</f>
        <v>88387.458559999999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265162.37568</v>
      </c>
      <c r="R12" s="47">
        <v>0</v>
      </c>
      <c r="S12" s="21">
        <f>Q12-W12</f>
        <v>265162.37568</v>
      </c>
      <c r="U12" s="48" t="s">
        <v>48</v>
      </c>
      <c r="V12"/>
      <c r="W12" s="49">
        <f>Q12*R12</f>
        <v>0</v>
      </c>
    </row>
    <row r="13" spans="2:23" ht="18" thickBot="1" x14ac:dyDescent="0.35">
      <c r="B13" s="308" t="s">
        <v>44</v>
      </c>
      <c r="C13" s="30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606078.35</v>
      </c>
      <c r="M14"/>
      <c r="N14" s="306" t="s">
        <v>53</v>
      </c>
      <c r="O14" s="307"/>
      <c r="P14" s="55"/>
      <c r="Q14" s="51">
        <f>SUM(Q9:Q12)</f>
        <v>883874.58560000011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277796.23560000001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883874.58560000011</v>
      </c>
      <c r="V15"/>
      <c r="W15"/>
    </row>
    <row r="16" spans="2:23" x14ac:dyDescent="0.3">
      <c r="B16" s="37"/>
      <c r="C16" s="42">
        <f>C14+C15</f>
        <v>883874.58559999999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883874.58559999999</v>
      </c>
    </row>
    <row r="24" spans="2:12" x14ac:dyDescent="0.3">
      <c r="B24" s="310" t="s">
        <v>18</v>
      </c>
      <c r="C24" s="310"/>
      <c r="D24" s="310"/>
      <c r="E24" s="310"/>
      <c r="F24" s="310"/>
      <c r="G24" s="310"/>
    </row>
    <row r="25" spans="2:12" x14ac:dyDescent="0.3">
      <c r="B25" s="311" t="s">
        <v>19</v>
      </c>
      <c r="C25" s="311" t="s">
        <v>20</v>
      </c>
      <c r="D25" s="311"/>
      <c r="E25" s="311" t="s">
        <v>21</v>
      </c>
      <c r="F25" s="311" t="s">
        <v>22</v>
      </c>
      <c r="G25" s="311"/>
      <c r="J25" s="166" t="s">
        <v>87</v>
      </c>
      <c r="K25" s="167">
        <f>IF(AND($C$9&gt;=C29,$C$9&lt;=D29),E29,IF(AND($C$9&gt;=C30,$C$9&lt;=D30),E30,IF(AND($C$9&gt;=C31,$C$9&lt;=D31),E31,IF(AND($C$9&gt;=C32,$C$9&lt;=D32),E32,IF(AND($C$9&gt;=C33,$C$9&lt;=D33),E33,IF(AND($C$9&gt;=C34,$C$9&lt;=D34),E34,IF(AND($C$9&gt;=C35,$C$9&lt;=D35),E35,IF(AND($C$9&gt;=C36,$C$9&lt;=D36),E36,IF(AND($C$9&gt;=C37,$C$9&lt;=D37),E37,IF(AND($C$9&gt;=C38,$C$9&lt;=D38),E38,IF(AND($C$9&gt;=C39,$C$9&lt;=D39),E39,IF($C$9&gt;=C40,E40,))))))))))))</f>
        <v>705596.92</v>
      </c>
      <c r="L25" s="168">
        <f>VLOOKUP(K25,E29:G40,2,FALSE)</f>
        <v>0.1469</v>
      </c>
    </row>
    <row r="26" spans="2:12" x14ac:dyDescent="0.3">
      <c r="B26" s="311"/>
      <c r="C26" s="10"/>
      <c r="D26" s="10"/>
      <c r="E26" s="311"/>
      <c r="F26" s="10"/>
      <c r="G26" s="10"/>
      <c r="J26" s="77" t="s">
        <v>90</v>
      </c>
      <c r="K26" s="5">
        <f>K25+L27</f>
        <v>1028958.7822</v>
      </c>
      <c r="L26" s="169">
        <f>VLOOKUP(K25,E29:G40,3,FALSE)</f>
        <v>4000001</v>
      </c>
    </row>
    <row r="27" spans="2:12" x14ac:dyDescent="0.3">
      <c r="B27" s="311"/>
      <c r="C27" s="10" t="s">
        <v>23</v>
      </c>
      <c r="D27" s="10" t="s">
        <v>24</v>
      </c>
      <c r="E27" s="311"/>
      <c r="F27" s="10" t="s">
        <v>25</v>
      </c>
      <c r="G27" s="10" t="s">
        <v>26</v>
      </c>
      <c r="J27" s="170"/>
      <c r="K27" s="171" t="s">
        <v>101</v>
      </c>
      <c r="L27" s="172">
        <f>(C9-L26)*L25</f>
        <v>323361.86220000003</v>
      </c>
    </row>
    <row r="28" spans="2:12" x14ac:dyDescent="0.3">
      <c r="B28" s="31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2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2" t="s">
        <v>22</v>
      </c>
      <c r="G44" s="313"/>
      <c r="J44" s="166" t="s">
        <v>87</v>
      </c>
      <c r="K44" s="167">
        <f>IF(AND($C$9&gt;=C48,$C$9&lt;=D48),E48,IF(AND($C$9&gt;=C49,$C$9&lt;=D49),E49,IF(AND($C$9&gt;=C50,$C$9&lt;=D50),E50,IF(AND($C$9&gt;=C51,$C$9&lt;=D51),E51,IF(AND($C$9&gt;=C52,$C$9&lt;=D52),E52,IF(AND($C$9&gt;=C53,$C$9&lt;=D53),E53,IF(AND($C$9&gt;=C54,$C$9&lt;=D54),E54,IF(AND($C$9&gt;=C55,$C$9&lt;=D55),E55,IF(AND($C$9&gt;=C56,$C$9&lt;=D56),E56,IF(AND($C$9&gt;=C57,$C$9&lt;=D57),E57,IF(AND($C$9&gt;=C58,$C$9&lt;=D58),E58,IF($C$9&gt;=C59,E59,))))))))))))</f>
        <v>606078.35</v>
      </c>
      <c r="L44" s="168">
        <f>VLOOKUP(K44,E48:G59,2,FALSE)</f>
        <v>0.12620000000000001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883874.58559999999</v>
      </c>
      <c r="L45" s="169">
        <f>VLOOKUP(K44,E48:G59,3,FALSE)</f>
        <v>4000001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0"/>
      <c r="K46" s="171" t="s">
        <v>101</v>
      </c>
      <c r="L46" s="172">
        <f>(C9-L45)*L44</f>
        <v>277796.23560000001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4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68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2"/>
      <c r="E59" s="68">
        <v>101081351.13</v>
      </c>
      <c r="F59" s="13">
        <v>8.7099999999999997E-2</v>
      </c>
      <c r="G59" s="12">
        <v>1040000001</v>
      </c>
    </row>
    <row r="60" spans="2:12" x14ac:dyDescent="0.3">
      <c r="B60" s="95"/>
      <c r="C60" s="163"/>
      <c r="D60" s="164"/>
      <c r="E60" s="163"/>
      <c r="F60" s="165"/>
      <c r="G60" s="163"/>
      <c r="L60" s="56"/>
    </row>
    <row r="61" spans="2:12" x14ac:dyDescent="0.3">
      <c r="K61" s="90"/>
      <c r="L61" s="64"/>
    </row>
    <row r="62" spans="2:12" x14ac:dyDescent="0.3">
      <c r="B62" s="58" t="s">
        <v>100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312" t="s">
        <v>22</v>
      </c>
      <c r="G63" s="313"/>
      <c r="J63" s="166" t="s">
        <v>87</v>
      </c>
      <c r="K63" s="167">
        <f>IF(AND($C$9&gt;=C67,$C$9&lt;=D67),E67,IF(AND($C$9&gt;=C68,$C$9&lt;=D68),E68,IF(AND($C$9&gt;=C69,$C$9&lt;=D69),E69,IF(AND($C$9&gt;=C70,$C$9&lt;=D70),E70,IF(AND($C$9&gt;=C71,$C$9&lt;=D71),E71,IF(AND($C$9&gt;=C72,$C$9&lt;=D72),E72,IF(AND($C$9&gt;=C73,$C$9&lt;=D73),E73,IF(AND($C$9&gt;=C74,$C$9&lt;=D74),E74,IF(AND($C$9&gt;=C75,$C$9&lt;=D75),E75,IF(AND($C$9&gt;=C76,$C$9&lt;=D76),E76,IF(AND($C$9&gt;=C77,$C$9&lt;=D77),E77,IF($C$9&gt;=C78,E78,))))))))))))</f>
        <v>506559.8</v>
      </c>
      <c r="L63" s="168">
        <f>VLOOKUP(K63,E67:G78,2,FALSE)</f>
        <v>0.1055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738790.40899999999</v>
      </c>
      <c r="L64" s="169">
        <f>VLOOKUP(K63,E67:G78,3,FALSE)</f>
        <v>4000001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0"/>
      <c r="K65" s="171" t="s">
        <v>101</v>
      </c>
      <c r="L65" s="172">
        <f>(C9-L64)*L63</f>
        <v>232230.609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68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2"/>
      <c r="E78" s="68">
        <v>84483711.590000004</v>
      </c>
      <c r="F78" s="13">
        <v>7.2800000000000004E-2</v>
      </c>
      <c r="G78" s="12">
        <v>1040000001</v>
      </c>
    </row>
    <row r="97" spans="2:2" x14ac:dyDescent="0.3">
      <c r="B97" s="1" t="s">
        <v>166</v>
      </c>
    </row>
    <row r="98" spans="2:2" x14ac:dyDescent="0.3">
      <c r="B98" s="1" t="s">
        <v>167</v>
      </c>
    </row>
    <row r="103" spans="2:2" x14ac:dyDescent="0.3">
      <c r="B103" s="1" t="s">
        <v>168</v>
      </c>
    </row>
    <row r="104" spans="2:2" x14ac:dyDescent="0.3">
      <c r="B104" s="1" t="s">
        <v>169</v>
      </c>
    </row>
    <row r="105" spans="2:2" x14ac:dyDescent="0.3">
      <c r="B105" s="1" t="s">
        <v>170</v>
      </c>
    </row>
    <row r="106" spans="2:2" x14ac:dyDescent="0.3">
      <c r="B106" s="1" t="s">
        <v>171</v>
      </c>
    </row>
    <row r="107" spans="2:2" x14ac:dyDescent="0.3">
      <c r="B107" s="1" t="s">
        <v>172</v>
      </c>
    </row>
    <row r="108" spans="2:2" x14ac:dyDescent="0.3">
      <c r="B108" s="1" t="s">
        <v>173</v>
      </c>
    </row>
    <row r="109" spans="2:2" x14ac:dyDescent="0.3">
      <c r="B109" s="1" t="s">
        <v>174</v>
      </c>
    </row>
    <row r="110" spans="2:2" x14ac:dyDescent="0.3">
      <c r="B110" s="1" t="s">
        <v>175</v>
      </c>
    </row>
    <row r="111" spans="2:2" x14ac:dyDescent="0.3">
      <c r="B111" s="1" t="s">
        <v>176</v>
      </c>
    </row>
    <row r="112" spans="2:2" x14ac:dyDescent="0.3">
      <c r="B112" s="1" t="s">
        <v>177</v>
      </c>
    </row>
    <row r="113" spans="2:2" x14ac:dyDescent="0.3">
      <c r="B113" s="1" t="s">
        <v>178</v>
      </c>
    </row>
    <row r="114" spans="2:2" x14ac:dyDescent="0.3">
      <c r="B114" s="1" t="s">
        <v>179</v>
      </c>
    </row>
    <row r="115" spans="2:2" x14ac:dyDescent="0.3">
      <c r="B115" s="1" t="s">
        <v>180</v>
      </c>
    </row>
    <row r="116" spans="2:2" x14ac:dyDescent="0.3">
      <c r="B116" s="1" t="s">
        <v>181</v>
      </c>
    </row>
    <row r="117" spans="2:2" x14ac:dyDescent="0.3">
      <c r="B117" s="1" t="s">
        <v>182</v>
      </c>
    </row>
    <row r="118" spans="2:2" x14ac:dyDescent="0.3">
      <c r="B118" s="1" t="s">
        <v>183</v>
      </c>
    </row>
    <row r="119" spans="2:2" x14ac:dyDescent="0.3">
      <c r="B119" s="1" t="s">
        <v>182</v>
      </c>
    </row>
    <row r="120" spans="2:2" x14ac:dyDescent="0.3">
      <c r="B120" s="1" t="s">
        <v>184</v>
      </c>
    </row>
    <row r="121" spans="2:2" x14ac:dyDescent="0.3">
      <c r="B121" s="1" t="s">
        <v>182</v>
      </c>
    </row>
    <row r="122" spans="2:2" x14ac:dyDescent="0.3">
      <c r="B122" s="1" t="s">
        <v>185</v>
      </c>
    </row>
    <row r="123" spans="2:2" x14ac:dyDescent="0.3">
      <c r="B123" s="1" t="s">
        <v>186</v>
      </c>
    </row>
  </sheetData>
  <mergeCells count="9">
    <mergeCell ref="F63:G63"/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2025-02-10T15:25:04Z</dcterms:modified>
</cp:coreProperties>
</file>