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4.  Company\- QUOTES\2025\Stucken &amp; Co\"/>
    </mc:Choice>
  </mc:AlternateContent>
  <xr:revisionPtr revIDLastSave="0" documentId="13_ncr:1_{F141E411-CD2A-4478-98A9-40AECF0CFC9F}" xr6:coauthVersionLast="47" xr6:coauthVersionMax="47" xr10:uidLastSave="{00000000-0000-0000-0000-000000000000}"/>
  <bookViews>
    <workbookView xWindow="-120" yWindow="-120" windowWidth="29040" windowHeight="15720" xr2:uid="{1AA6A1B4-F5F0-43FF-A451-A37C53DCD520}"/>
  </bookViews>
  <sheets>
    <sheet name="Professional Fees" sheetId="2" r:id="rId1"/>
    <sheet name="Prints - Addendum A" sheetId="3" r:id="rId2"/>
    <sheet name="Sheet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31" i="2"/>
  <c r="F35" i="2" s="1"/>
  <c r="F41" i="2" s="1"/>
  <c r="F40" i="2"/>
  <c r="B43" i="3"/>
  <c r="B44" i="3"/>
  <c r="B45" i="3"/>
  <c r="B46" i="3"/>
  <c r="B47" i="3"/>
  <c r="B48" i="3"/>
  <c r="B42" i="3"/>
  <c r="J42" i="2"/>
  <c r="J38" i="2"/>
  <c r="F38" i="2" s="1"/>
  <c r="J39" i="2"/>
  <c r="F39" i="2" s="1"/>
  <c r="F8" i="2"/>
  <c r="E39" i="3"/>
  <c r="M32" i="3"/>
  <c r="O32" i="3" s="1"/>
  <c r="H32" i="3"/>
  <c r="J32" i="3" s="1"/>
  <c r="C32" i="3"/>
  <c r="E32" i="3" s="1"/>
  <c r="O31" i="3"/>
  <c r="J31" i="3"/>
  <c r="E31" i="3"/>
  <c r="O26" i="3"/>
  <c r="J26" i="3"/>
  <c r="E26" i="3"/>
  <c r="O25" i="3"/>
  <c r="J25" i="3"/>
  <c r="E25" i="3"/>
  <c r="O24" i="3"/>
  <c r="J24" i="3"/>
  <c r="E24" i="3"/>
  <c r="M15" i="3"/>
  <c r="O15" i="3" s="1"/>
  <c r="O14" i="3"/>
  <c r="O9" i="3"/>
  <c r="O8" i="3"/>
  <c r="O7" i="3"/>
  <c r="H15" i="3"/>
  <c r="J15" i="3" s="1"/>
  <c r="J14" i="3"/>
  <c r="J9" i="3"/>
  <c r="J8" i="3"/>
  <c r="J7" i="3"/>
  <c r="C15" i="3"/>
  <c r="E15" i="3" s="1"/>
  <c r="E14" i="3"/>
  <c r="E8" i="3"/>
  <c r="E9" i="3"/>
  <c r="E7" i="3"/>
  <c r="F17" i="2"/>
  <c r="E23" i="2" s="1"/>
  <c r="F6" i="2"/>
  <c r="F7" i="2"/>
  <c r="F19" i="1"/>
  <c r="C19" i="1"/>
  <c r="C11" i="1"/>
  <c r="C5" i="1"/>
  <c r="U9" i="1" s="1"/>
  <c r="F6" i="1"/>
  <c r="H5" i="1"/>
  <c r="U11" i="1"/>
  <c r="C8" i="1"/>
  <c r="J43" i="2" l="1"/>
  <c r="N39" i="2"/>
  <c r="N38" i="2"/>
  <c r="F26" i="2"/>
  <c r="O33" i="3"/>
  <c r="J16" i="3"/>
  <c r="E16" i="3"/>
  <c r="E10" i="3"/>
  <c r="E11" i="3" s="1"/>
  <c r="J27" i="3"/>
  <c r="J28" i="3" s="1"/>
  <c r="E27" i="3"/>
  <c r="E28" i="3" s="1"/>
  <c r="O16" i="3"/>
  <c r="O27" i="3"/>
  <c r="O28" i="3" s="1"/>
  <c r="E33" i="3"/>
  <c r="J33" i="3"/>
  <c r="O10" i="3"/>
  <c r="O11" i="3" s="1"/>
  <c r="J10" i="3"/>
  <c r="J11" i="3" s="1"/>
  <c r="E22" i="2"/>
  <c r="E21" i="2"/>
  <c r="E20" i="2"/>
  <c r="E19" i="2"/>
  <c r="E25" i="2"/>
  <c r="E24" i="2"/>
  <c r="C12" i="1"/>
  <c r="F29" i="2" l="1"/>
  <c r="J17" i="3"/>
  <c r="O34" i="3"/>
  <c r="E17" i="3"/>
  <c r="J34" i="3"/>
  <c r="O17" i="3"/>
  <c r="E34" i="3"/>
  <c r="E42" i="3" l="1"/>
  <c r="E45" i="3"/>
  <c r="E44" i="3"/>
  <c r="E46" i="3"/>
  <c r="E47" i="3"/>
  <c r="E48" i="3"/>
  <c r="E43" i="3"/>
  <c r="E49" i="3" l="1"/>
  <c r="E51" i="3" l="1"/>
  <c r="N11" i="1" l="1"/>
  <c r="N12" i="1" s="1"/>
  <c r="F11" i="2"/>
  <c r="F9" i="2"/>
</calcChain>
</file>

<file path=xl/sharedStrings.xml><?xml version="1.0" encoding="utf-8"?>
<sst xmlns="http://schemas.openxmlformats.org/spreadsheetml/2006/main" count="166" uniqueCount="76">
  <si>
    <t>Travel per Day</t>
  </si>
  <si>
    <t>Conctract value Ex. Contingency</t>
  </si>
  <si>
    <t>5% of the Contract Value</t>
  </si>
  <si>
    <t>Travel</t>
  </si>
  <si>
    <t>Contract</t>
  </si>
  <si>
    <t>Prints x 3 sets</t>
  </si>
  <si>
    <t>Remainder</t>
  </si>
  <si>
    <t>Monthly</t>
  </si>
  <si>
    <t>Project Duration (months)</t>
  </si>
  <si>
    <t>3% of the Contract Value</t>
  </si>
  <si>
    <t>Estimated Build Cost: (For Cost Based Fees)</t>
  </si>
  <si>
    <t>Est. Build cost</t>
  </si>
  <si>
    <t>G&amp;I - Office Block</t>
  </si>
  <si>
    <t>G&amp;I - HR Offices</t>
  </si>
  <si>
    <t>Hinterveld</t>
  </si>
  <si>
    <t xml:space="preserve"> </t>
  </si>
  <si>
    <t>Project Cost</t>
  </si>
  <si>
    <t>Complexity</t>
  </si>
  <si>
    <t>Medium</t>
  </si>
  <si>
    <t>Professional Fees: (ex. VAT)</t>
  </si>
  <si>
    <t>Primary Fee</t>
  </si>
  <si>
    <t>Secondary fee</t>
  </si>
  <si>
    <t>% of Fee</t>
  </si>
  <si>
    <t>Fee (ex VAT)</t>
  </si>
  <si>
    <t>Final Fees (ex VAT)</t>
  </si>
  <si>
    <t>Inception</t>
  </si>
  <si>
    <t>Concept design</t>
  </si>
  <si>
    <t>Design Development</t>
  </si>
  <si>
    <t>Municipal Submission</t>
  </si>
  <si>
    <t>Tender &amp; Tech Drawings</t>
  </si>
  <si>
    <t>Construction</t>
  </si>
  <si>
    <t>Close - Out</t>
  </si>
  <si>
    <t xml:space="preserve">Total (ex.VAT) </t>
  </si>
  <si>
    <t>Stages</t>
  </si>
  <si>
    <t>4.1</t>
  </si>
  <si>
    <t>4.2</t>
  </si>
  <si>
    <t>Total (Ex.VAT &amp; Contingency)</t>
  </si>
  <si>
    <t>Monthly Fee Breakdown:</t>
  </si>
  <si>
    <t>Full Professional Fees for Stage 5 + 6</t>
  </si>
  <si>
    <t>Disbursements:</t>
  </si>
  <si>
    <t>per week</t>
  </si>
  <si>
    <t>Professional Fees in terms of Section 34 (2) of the Architectural Profession Act, 2000 Act 44 of 2000</t>
  </si>
  <si>
    <t>Total per month (ex.VAT)</t>
  </si>
  <si>
    <t>Professional Fees in terms of Section 34 (2) of the Architectural Profession Act, 2000 Act 44 of 2000  - 4 Oct 2024</t>
  </si>
  <si>
    <t>Total Stages 1 - 6 (Ex.VAT)</t>
  </si>
  <si>
    <t>A3</t>
  </si>
  <si>
    <t>Printing (Addendum A)</t>
  </si>
  <si>
    <t>A1</t>
  </si>
  <si>
    <t>rate</t>
  </si>
  <si>
    <t>qty</t>
  </si>
  <si>
    <t>Desciption</t>
  </si>
  <si>
    <t>Collection</t>
  </si>
  <si>
    <t>Collection time</t>
  </si>
  <si>
    <t>Sets:</t>
  </si>
  <si>
    <t>Total per Set</t>
  </si>
  <si>
    <t>Printing Breakdown:</t>
  </si>
  <si>
    <t>Collection of prints:</t>
  </si>
  <si>
    <t>Sub total</t>
  </si>
  <si>
    <t>A4</t>
  </si>
  <si>
    <t xml:space="preserve">Handover week </t>
  </si>
  <si>
    <t>On-going changes (Fortnightly)</t>
  </si>
  <si>
    <t>Grand Total</t>
  </si>
  <si>
    <t>Total Sets:</t>
  </si>
  <si>
    <t>Grand Total -  Handover week</t>
  </si>
  <si>
    <t>Weeks a year</t>
  </si>
  <si>
    <t>Weeks in 3 months</t>
  </si>
  <si>
    <t>Buildings:</t>
  </si>
  <si>
    <t>Work Stages:</t>
  </si>
  <si>
    <t>Travel cost</t>
  </si>
  <si>
    <t>Travel time</t>
  </si>
  <si>
    <t>Estimated Printing Summary</t>
  </si>
  <si>
    <t>Estimated weekly forecast:</t>
  </si>
  <si>
    <t>Monthly Invoice for prints</t>
  </si>
  <si>
    <t>Professional Fees (as not Principle Agent)</t>
  </si>
  <si>
    <t>Professional Fees (minus 10%) on Stage 5 + 6 (Clause 16.A)</t>
  </si>
  <si>
    <t>Total with Discount  (As agreed with Daniel)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</si>
</sst>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&quot;#,##0.00;[Red]\-&quot;R&quot;#,##0.00"/>
    <numFmt numFmtId="44" formatCode="_-&quot;R&quot;* #,##0.00_-;\-&quot;R&quot;* #,##0.00_-;_-&quot;R&quot;* &quot;-&quot;??_-;_-@_-"/>
    <numFmt numFmtId="164" formatCode="_-&quot;R&quot;* #,##0.000_-;\-&quot;R&quot;* #,##0.000_-;_-&quot;R&quot;* &quot;-&quot;??_-;_-@_-"/>
    <numFmt numFmtId="165" formatCode="&quot;R&quot;#,##0.00"/>
    <numFmt numFmtId="166" formatCode="0.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sz val="14"/>
      <color theme="1"/>
      <name val="Century Gothic"/>
      <family val="2"/>
    </font>
    <font>
      <b/>
      <sz val="14"/>
      <name val="Century Gothic"/>
      <family val="2"/>
    </font>
    <font>
      <sz val="16"/>
      <color theme="1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sz val="11"/>
      <color theme="1"/>
      <name val="Century Gothic"/>
      <family val="2"/>
    </font>
    <font>
      <b/>
      <sz val="12"/>
      <name val="Century Gothic"/>
      <family val="2"/>
    </font>
    <font>
      <i/>
      <sz val="10"/>
      <color theme="1"/>
      <name val="Aptos Narrow"/>
      <family val="2"/>
      <scheme val="minor"/>
    </font>
    <font>
      <b/>
      <sz val="11"/>
      <color theme="1"/>
      <name val="Century Gothic"/>
      <family val="2"/>
    </font>
    <font>
      <sz val="12"/>
      <color theme="1"/>
      <name val="Aptos Narrow"/>
      <family val="2"/>
      <scheme val="minor"/>
    </font>
    <font>
      <b/>
      <i/>
      <sz val="14"/>
      <color theme="1"/>
      <name val="Century Gothic"/>
      <family val="2"/>
    </font>
    <font>
      <b/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616D3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4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0" applyNumberFormat="0" applyBorder="0" applyAlignment="0" applyProtection="0"/>
  </cellStyleXfs>
  <cellXfs count="153">
    <xf numFmtId="0" fontId="0" fillId="0" borderId="0" xfId="0"/>
    <xf numFmtId="44" fontId="0" fillId="0" borderId="0" xfId="0" applyNumberFormat="1"/>
    <xf numFmtId="8" fontId="0" fillId="0" borderId="0" xfId="0" applyNumberFormat="1"/>
    <xf numFmtId="164" fontId="0" fillId="0" borderId="0" xfId="0" applyNumberFormat="1"/>
    <xf numFmtId="0" fontId="5" fillId="0" borderId="0" xfId="0" applyFont="1"/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165" fontId="6" fillId="0" borderId="8" xfId="0" applyNumberFormat="1" applyFont="1" applyBorder="1" applyAlignment="1">
      <alignment horizontal="center"/>
    </xf>
    <xf numFmtId="0" fontId="7" fillId="5" borderId="2" xfId="0" applyFont="1" applyFill="1" applyBorder="1" applyAlignment="1">
      <alignment horizontal="left"/>
    </xf>
    <xf numFmtId="0" fontId="7" fillId="5" borderId="3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11" fillId="7" borderId="8" xfId="3" applyFont="1" applyFill="1" applyBorder="1" applyAlignment="1">
      <alignment horizontal="center"/>
    </xf>
    <xf numFmtId="0" fontId="5" fillId="0" borderId="14" xfId="0" applyFont="1" applyBorder="1"/>
    <xf numFmtId="9" fontId="5" fillId="0" borderId="7" xfId="0" applyNumberFormat="1" applyFont="1" applyBorder="1" applyAlignment="1">
      <alignment horizontal="center"/>
    </xf>
    <xf numFmtId="0" fontId="5" fillId="0" borderId="16" xfId="0" applyFont="1" applyBorder="1"/>
    <xf numFmtId="9" fontId="5" fillId="0" borderId="0" xfId="0" applyNumberFormat="1" applyFont="1" applyAlignment="1">
      <alignment horizontal="center"/>
    </xf>
    <xf numFmtId="0" fontId="5" fillId="0" borderId="18" xfId="0" applyFont="1" applyBorder="1"/>
    <xf numFmtId="0" fontId="5" fillId="0" borderId="19" xfId="0" applyFont="1" applyBorder="1" applyAlignment="1">
      <alignment horizontal="center"/>
    </xf>
    <xf numFmtId="9" fontId="5" fillId="0" borderId="19" xfId="0" applyNumberFormat="1" applyFont="1" applyBorder="1" applyAlignment="1">
      <alignment horizontal="center"/>
    </xf>
    <xf numFmtId="0" fontId="12" fillId="0" borderId="0" xfId="0" applyFont="1"/>
    <xf numFmtId="165" fontId="5" fillId="0" borderId="0" xfId="0" applyNumberFormat="1" applyFont="1" applyAlignment="1">
      <alignment horizontal="center"/>
    </xf>
    <xf numFmtId="0" fontId="5" fillId="0" borderId="19" xfId="0" applyFont="1" applyBorder="1" applyAlignment="1">
      <alignment horizontal="left" vertical="center"/>
    </xf>
    <xf numFmtId="0" fontId="0" fillId="0" borderId="19" xfId="0" applyBorder="1"/>
    <xf numFmtId="165" fontId="5" fillId="0" borderId="19" xfId="0" applyNumberFormat="1" applyFont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44" fontId="5" fillId="0" borderId="7" xfId="0" applyNumberFormat="1" applyFont="1" applyBorder="1"/>
    <xf numFmtId="44" fontId="5" fillId="0" borderId="19" xfId="0" applyNumberFormat="1" applyFont="1" applyBorder="1"/>
    <xf numFmtId="44" fontId="5" fillId="0" borderId="15" xfId="0" applyNumberFormat="1" applyFont="1" applyBorder="1"/>
    <xf numFmtId="44" fontId="5" fillId="0" borderId="17" xfId="0" applyNumberFormat="1" applyFont="1" applyBorder="1"/>
    <xf numFmtId="44" fontId="5" fillId="0" borderId="20" xfId="0" applyNumberFormat="1" applyFont="1" applyBorder="1"/>
    <xf numFmtId="44" fontId="8" fillId="6" borderId="4" xfId="3" applyNumberFormat="1" applyFont="1" applyFill="1" applyBorder="1"/>
    <xf numFmtId="0" fontId="5" fillId="0" borderId="1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0" fillId="0" borderId="7" xfId="0" applyBorder="1"/>
    <xf numFmtId="0" fontId="0" fillId="0" borderId="24" xfId="0" applyBorder="1"/>
    <xf numFmtId="165" fontId="5" fillId="0" borderId="25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0" fillId="0" borderId="26" xfId="0" applyBorder="1"/>
    <xf numFmtId="165" fontId="5" fillId="0" borderId="27" xfId="0" applyNumberFormat="1" applyFont="1" applyBorder="1" applyAlignment="1">
      <alignment horizontal="center" vertical="center"/>
    </xf>
    <xf numFmtId="165" fontId="4" fillId="6" borderId="8" xfId="0" applyNumberFormat="1" applyFont="1" applyFill="1" applyBorder="1" applyAlignment="1">
      <alignment horizontal="center" vertical="center"/>
    </xf>
    <xf numFmtId="44" fontId="5" fillId="0" borderId="0" xfId="0" applyNumberFormat="1" applyFont="1"/>
    <xf numFmtId="0" fontId="5" fillId="0" borderId="28" xfId="0" applyFont="1" applyBorder="1" applyAlignment="1">
      <alignment horizontal="left"/>
    </xf>
    <xf numFmtId="0" fontId="7" fillId="0" borderId="29" xfId="0" applyFont="1" applyBorder="1" applyAlignment="1">
      <alignment horizontal="center"/>
    </xf>
    <xf numFmtId="0" fontId="0" fillId="0" borderId="29" xfId="0" applyBorder="1"/>
    <xf numFmtId="0" fontId="7" fillId="0" borderId="29" xfId="0" applyFont="1" applyBorder="1"/>
    <xf numFmtId="0" fontId="7" fillId="0" borderId="30" xfId="0" applyFont="1" applyBorder="1" applyAlignment="1">
      <alignment horizontal="center"/>
    </xf>
    <xf numFmtId="0" fontId="8" fillId="6" borderId="4" xfId="3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44" fontId="5" fillId="0" borderId="33" xfId="0" applyNumberFormat="1" applyFont="1" applyBorder="1"/>
    <xf numFmtId="44" fontId="5" fillId="0" borderId="25" xfId="0" applyNumberFormat="1" applyFont="1" applyBorder="1"/>
    <xf numFmtId="0" fontId="14" fillId="0" borderId="18" xfId="0" applyFont="1" applyBorder="1"/>
    <xf numFmtId="0" fontId="5" fillId="7" borderId="2" xfId="0" applyFont="1" applyFill="1" applyBorder="1"/>
    <xf numFmtId="0" fontId="0" fillId="7" borderId="3" xfId="0" applyFill="1" applyBorder="1"/>
    <xf numFmtId="0" fontId="0" fillId="7" borderId="4" xfId="0" applyFill="1" applyBorder="1"/>
    <xf numFmtId="0" fontId="16" fillId="0" borderId="0" xfId="0" applyFont="1"/>
    <xf numFmtId="165" fontId="0" fillId="0" borderId="0" xfId="0" applyNumberFormat="1"/>
    <xf numFmtId="0" fontId="12" fillId="0" borderId="9" xfId="0" applyFont="1" applyBorder="1"/>
    <xf numFmtId="0" fontId="12" fillId="0" borderId="10" xfId="0" applyFont="1" applyBorder="1"/>
    <xf numFmtId="0" fontId="12" fillId="0" borderId="11" xfId="0" applyFont="1" applyBorder="1"/>
    <xf numFmtId="0" fontId="12" fillId="0" borderId="12" xfId="0" applyFont="1" applyBorder="1"/>
    <xf numFmtId="0" fontId="12" fillId="0" borderId="13" xfId="0" applyFont="1" applyBorder="1"/>
    <xf numFmtId="0" fontId="12" fillId="7" borderId="2" xfId="0" applyFont="1" applyFill="1" applyBorder="1"/>
    <xf numFmtId="0" fontId="12" fillId="7" borderId="3" xfId="0" applyFont="1" applyFill="1" applyBorder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44" fontId="5" fillId="0" borderId="27" xfId="0" applyNumberFormat="1" applyFont="1" applyBorder="1"/>
    <xf numFmtId="166" fontId="12" fillId="0" borderId="13" xfId="0" applyNumberFormat="1" applyFont="1" applyBorder="1"/>
    <xf numFmtId="1" fontId="12" fillId="0" borderId="13" xfId="0" applyNumberFormat="1" applyFont="1" applyBorder="1"/>
    <xf numFmtId="0" fontId="12" fillId="0" borderId="37" xfId="0" applyFont="1" applyBorder="1"/>
    <xf numFmtId="0" fontId="12" fillId="0" borderId="14" xfId="0" applyFont="1" applyBorder="1"/>
    <xf numFmtId="0" fontId="12" fillId="0" borderId="7" xfId="0" applyFont="1" applyBorder="1"/>
    <xf numFmtId="0" fontId="12" fillId="0" borderId="32" xfId="0" applyFont="1" applyBorder="1"/>
    <xf numFmtId="0" fontId="12" fillId="0" borderId="39" xfId="0" applyFont="1" applyBorder="1"/>
    <xf numFmtId="44" fontId="12" fillId="0" borderId="25" xfId="0" applyNumberFormat="1" applyFont="1" applyBorder="1"/>
    <xf numFmtId="44" fontId="12" fillId="0" borderId="41" xfId="0" applyNumberFormat="1" applyFont="1" applyBorder="1"/>
    <xf numFmtId="44" fontId="12" fillId="0" borderId="42" xfId="0" applyNumberFormat="1" applyFont="1" applyBorder="1"/>
    <xf numFmtId="44" fontId="13" fillId="7" borderId="40" xfId="3" applyNumberFormat="1" applyFont="1" applyFill="1" applyBorder="1"/>
    <xf numFmtId="44" fontId="12" fillId="0" borderId="31" xfId="0" applyNumberFormat="1" applyFont="1" applyBorder="1"/>
    <xf numFmtId="44" fontId="12" fillId="0" borderId="22" xfId="0" applyNumberFormat="1" applyFont="1" applyBorder="1"/>
    <xf numFmtId="44" fontId="12" fillId="0" borderId="23" xfId="0" applyNumberFormat="1" applyFont="1" applyBorder="1"/>
    <xf numFmtId="44" fontId="12" fillId="0" borderId="21" xfId="0" applyNumberFormat="1" applyFont="1" applyBorder="1"/>
    <xf numFmtId="44" fontId="0" fillId="0" borderId="0" xfId="0" applyNumberFormat="1" applyAlignment="1">
      <alignment horizontal="left"/>
    </xf>
    <xf numFmtId="0" fontId="12" fillId="0" borderId="16" xfId="0" applyFont="1" applyBorder="1"/>
    <xf numFmtId="0" fontId="12" fillId="0" borderId="18" xfId="0" applyFont="1" applyBorder="1"/>
    <xf numFmtId="44" fontId="12" fillId="0" borderId="17" xfId="0" applyNumberFormat="1" applyFont="1" applyBorder="1"/>
    <xf numFmtId="0" fontId="12" fillId="0" borderId="19" xfId="0" applyFont="1" applyBorder="1"/>
    <xf numFmtId="44" fontId="12" fillId="0" borderId="20" xfId="0" applyNumberFormat="1" applyFont="1" applyBorder="1"/>
    <xf numFmtId="0" fontId="12" fillId="0" borderId="15" xfId="0" applyFont="1" applyBorder="1"/>
    <xf numFmtId="0" fontId="5" fillId="4" borderId="40" xfId="0" applyFont="1" applyFill="1" applyBorder="1" applyAlignment="1">
      <alignment horizontal="center"/>
    </xf>
    <xf numFmtId="165" fontId="5" fillId="0" borderId="33" xfId="0" applyNumberFormat="1" applyFont="1" applyBorder="1" applyAlignment="1">
      <alignment horizontal="center"/>
    </xf>
    <xf numFmtId="165" fontId="5" fillId="0" borderId="27" xfId="0" applyNumberFormat="1" applyFont="1" applyBorder="1" applyAlignment="1">
      <alignment horizontal="center"/>
    </xf>
    <xf numFmtId="165" fontId="8" fillId="6" borderId="8" xfId="2" applyNumberFormat="1" applyFont="1" applyFill="1" applyBorder="1" applyAlignment="1">
      <alignment vertical="center"/>
    </xf>
    <xf numFmtId="0" fontId="10" fillId="7" borderId="34" xfId="3" applyFont="1" applyFill="1" applyBorder="1" applyAlignment="1">
      <alignment horizontal="left"/>
    </xf>
    <xf numFmtId="0" fontId="10" fillId="7" borderId="45" xfId="3" applyFont="1" applyFill="1" applyBorder="1" applyAlignment="1">
      <alignment horizontal="center"/>
    </xf>
    <xf numFmtId="0" fontId="11" fillId="7" borderId="45" xfId="3" applyFont="1" applyFill="1" applyBorder="1" applyAlignment="1">
      <alignment horizontal="center"/>
    </xf>
    <xf numFmtId="0" fontId="11" fillId="7" borderId="40" xfId="3" applyFont="1" applyFill="1" applyBorder="1" applyAlignment="1">
      <alignment horizontal="center"/>
    </xf>
    <xf numFmtId="0" fontId="12" fillId="0" borderId="20" xfId="0" applyFont="1" applyBorder="1"/>
    <xf numFmtId="44" fontId="12" fillId="0" borderId="0" xfId="0" applyNumberFormat="1" applyFont="1"/>
    <xf numFmtId="44" fontId="15" fillId="7" borderId="8" xfId="0" applyNumberFormat="1" applyFont="1" applyFill="1" applyBorder="1"/>
    <xf numFmtId="0" fontId="13" fillId="7" borderId="2" xfId="3" applyFont="1" applyFill="1" applyBorder="1" applyAlignment="1">
      <alignment horizontal="right" vertical="center"/>
    </xf>
    <xf numFmtId="0" fontId="13" fillId="7" borderId="4" xfId="3" applyFont="1" applyFill="1" applyBorder="1" applyAlignment="1">
      <alignment horizontal="right" vertical="center"/>
    </xf>
    <xf numFmtId="0" fontId="17" fillId="4" borderId="2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5" fillId="4" borderId="44" xfId="0" applyFont="1" applyFill="1" applyBorder="1" applyAlignment="1">
      <alignment horizontal="left"/>
    </xf>
    <xf numFmtId="0" fontId="9" fillId="5" borderId="2" xfId="0" applyFont="1" applyFill="1" applyBorder="1" applyAlignment="1">
      <alignment horizontal="left"/>
    </xf>
    <xf numFmtId="0" fontId="9" fillId="5" borderId="3" xfId="0" applyFont="1" applyFill="1" applyBorder="1" applyAlignment="1">
      <alignment horizontal="left"/>
    </xf>
    <xf numFmtId="0" fontId="10" fillId="7" borderId="2" xfId="3" applyFont="1" applyFill="1" applyBorder="1" applyAlignment="1">
      <alignment horizontal="left"/>
    </xf>
    <xf numFmtId="0" fontId="10" fillId="7" borderId="3" xfId="3" applyFont="1" applyFill="1" applyBorder="1" applyAlignment="1">
      <alignment horizontal="left"/>
    </xf>
    <xf numFmtId="0" fontId="10" fillId="7" borderId="4" xfId="3" applyFont="1" applyFill="1" applyBorder="1" applyAlignment="1">
      <alignment horizontal="left"/>
    </xf>
    <xf numFmtId="0" fontId="8" fillId="7" borderId="2" xfId="3" applyFont="1" applyFill="1" applyBorder="1" applyAlignment="1">
      <alignment horizontal="left"/>
    </xf>
    <xf numFmtId="0" fontId="8" fillId="7" borderId="3" xfId="3" applyFont="1" applyFill="1" applyBorder="1" applyAlignment="1">
      <alignment horizontal="left"/>
    </xf>
    <xf numFmtId="0" fontId="8" fillId="7" borderId="4" xfId="3" applyFont="1" applyFill="1" applyBorder="1" applyAlignment="1">
      <alignment horizontal="left"/>
    </xf>
    <xf numFmtId="44" fontId="8" fillId="6" borderId="36" xfId="3" applyNumberFormat="1" applyFont="1" applyFill="1" applyBorder="1" applyAlignment="1">
      <alignment horizontal="center" vertical="center"/>
    </xf>
    <xf numFmtId="44" fontId="8" fillId="6" borderId="35" xfId="3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left"/>
    </xf>
    <xf numFmtId="0" fontId="5" fillId="7" borderId="3" xfId="0" applyFont="1" applyFill="1" applyBorder="1" applyAlignment="1">
      <alignment horizontal="left"/>
    </xf>
    <xf numFmtId="0" fontId="12" fillId="0" borderId="38" xfId="0" applyFont="1" applyBorder="1" applyAlignment="1">
      <alignment horizontal="right"/>
    </xf>
    <xf numFmtId="0" fontId="12" fillId="0" borderId="37" xfId="0" applyFont="1" applyBorder="1" applyAlignment="1">
      <alignment horizontal="right"/>
    </xf>
    <xf numFmtId="0" fontId="12" fillId="0" borderId="43" xfId="0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8" borderId="2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12" fillId="7" borderId="2" xfId="0" applyFont="1" applyFill="1" applyBorder="1" applyAlignment="1">
      <alignment horizontal="center"/>
    </xf>
    <xf numFmtId="0" fontId="12" fillId="7" borderId="3" xfId="0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/>
    </xf>
    <xf numFmtId="0" fontId="0" fillId="0" borderId="0" xfId="0"/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6" fillId="0" borderId="2" xfId="0" applyFont="1" applyBorder="1"/>
    <xf numFmtId="0" fontId="18" fillId="0" borderId="3" xfId="0" applyFont="1" applyBorder="1"/>
    <xf numFmtId="9" fontId="6" fillId="0" borderId="44" xfId="1" applyFont="1" applyBorder="1"/>
    <xf numFmtId="44" fontId="6" fillId="0" borderId="20" xfId="0" applyNumberFormat="1" applyFont="1" applyBorder="1"/>
    <xf numFmtId="0" fontId="5" fillId="0" borderId="14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26" xfId="0" applyFont="1" applyBorder="1" applyAlignment="1">
      <alignment horizontal="left"/>
    </xf>
  </cellXfs>
  <cellStyles count="4">
    <cellStyle name="Accent3" xfId="3" builtinId="37"/>
    <cellStyle name="Check Cell" xfId="2" builtinId="2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DE880-20F2-427A-A32E-A16FA4B6A717}">
  <sheetPr>
    <pageSetUpPr fitToPage="1"/>
  </sheetPr>
  <dimension ref="B1:P47"/>
  <sheetViews>
    <sheetView tabSelected="1" topLeftCell="A14" workbookViewId="0">
      <selection activeCell="L31" sqref="L31"/>
    </sheetView>
  </sheetViews>
  <sheetFormatPr defaultRowHeight="15" x14ac:dyDescent="0.25"/>
  <cols>
    <col min="1" max="1" width="4.140625" customWidth="1"/>
    <col min="2" max="2" width="29.140625" customWidth="1"/>
    <col min="3" max="3" width="11.7109375" bestFit="1" customWidth="1"/>
    <col min="4" max="4" width="15.42578125" bestFit="1" customWidth="1"/>
    <col min="5" max="5" width="19.28515625" bestFit="1" customWidth="1"/>
    <col min="6" max="6" width="22.140625" bestFit="1" customWidth="1"/>
    <col min="7" max="7" width="4.7109375" customWidth="1"/>
    <col min="13" max="13" width="11.5703125" bestFit="1" customWidth="1"/>
    <col min="14" max="14" width="10.5703125" bestFit="1" customWidth="1"/>
    <col min="15" max="16" width="12.5703125" bestFit="1" customWidth="1"/>
  </cols>
  <sheetData>
    <row r="1" spans="2:6" ht="15.75" thickBot="1" x14ac:dyDescent="0.3"/>
    <row r="2" spans="2:6" s="55" customFormat="1" ht="42" customHeight="1" thickBot="1" x14ac:dyDescent="0.3">
      <c r="B2" s="104" t="s">
        <v>43</v>
      </c>
      <c r="C2" s="105"/>
      <c r="D2" s="105"/>
      <c r="E2" s="105"/>
      <c r="F2" s="106"/>
    </row>
    <row r="3" spans="2:6" ht="15.75" thickBot="1" x14ac:dyDescent="0.3"/>
    <row r="4" spans="2:6" ht="18.75" thickBot="1" x14ac:dyDescent="0.3">
      <c r="B4" s="120" t="s">
        <v>10</v>
      </c>
      <c r="C4" s="121"/>
      <c r="D4" s="121"/>
      <c r="E4" s="121"/>
      <c r="F4" s="122"/>
    </row>
    <row r="5" spans="2:6" ht="18" thickBot="1" x14ac:dyDescent="0.35">
      <c r="B5" s="107" t="s">
        <v>66</v>
      </c>
      <c r="C5" s="108"/>
      <c r="D5" s="108"/>
      <c r="E5" s="109"/>
      <c r="F5" s="91" t="s">
        <v>11</v>
      </c>
    </row>
    <row r="6" spans="2:6" ht="17.25" x14ac:dyDescent="0.3">
      <c r="B6" s="15" t="s">
        <v>12</v>
      </c>
      <c r="C6" s="4"/>
      <c r="D6" s="21"/>
      <c r="E6" s="6"/>
      <c r="F6" s="92">
        <f>2755032.5/1.1</f>
        <v>2504575</v>
      </c>
    </row>
    <row r="7" spans="2:6" ht="17.25" x14ac:dyDescent="0.3">
      <c r="B7" s="15" t="s">
        <v>13</v>
      </c>
      <c r="D7" s="21"/>
      <c r="E7" s="6"/>
      <c r="F7" s="92">
        <f>1617739.2/1.1</f>
        <v>1470671.9999999998</v>
      </c>
    </row>
    <row r="8" spans="2:6" ht="18" thickBot="1" x14ac:dyDescent="0.35">
      <c r="B8" s="17" t="s">
        <v>14</v>
      </c>
      <c r="C8" s="23"/>
      <c r="D8" s="24"/>
      <c r="E8" s="18"/>
      <c r="F8" s="93">
        <f>2448591.2/1.1</f>
        <v>2225992</v>
      </c>
    </row>
    <row r="9" spans="2:6" ht="18" thickBot="1" x14ac:dyDescent="0.35">
      <c r="B9" s="4"/>
      <c r="C9" s="4" t="s">
        <v>15</v>
      </c>
      <c r="D9" s="102" t="s">
        <v>36</v>
      </c>
      <c r="E9" s="103"/>
      <c r="F9" s="7">
        <f ca="1">SUM(F6:F9)</f>
        <v>6201239</v>
      </c>
    </row>
    <row r="10" spans="2:6" ht="18" thickBot="1" x14ac:dyDescent="0.35">
      <c r="B10" s="4"/>
      <c r="C10" s="4"/>
    </row>
    <row r="11" spans="2:6" ht="18.75" thickBot="1" x14ac:dyDescent="0.3">
      <c r="B11" s="8" t="s">
        <v>16</v>
      </c>
      <c r="C11" s="9"/>
      <c r="D11" s="9"/>
      <c r="E11" s="25"/>
      <c r="F11" s="94">
        <f ca="1">F9</f>
        <v>6201239</v>
      </c>
    </row>
    <row r="12" spans="2:6" ht="18.75" x14ac:dyDescent="0.3">
      <c r="B12" s="42" t="s">
        <v>17</v>
      </c>
      <c r="C12" s="43"/>
      <c r="D12" s="44"/>
      <c r="E12" s="45"/>
      <c r="F12" s="46" t="s">
        <v>18</v>
      </c>
    </row>
    <row r="13" spans="2:6" ht="15.75" thickBot="1" x14ac:dyDescent="0.3"/>
    <row r="14" spans="2:6" ht="20.25" thickBot="1" x14ac:dyDescent="0.3">
      <c r="B14" s="110" t="s">
        <v>19</v>
      </c>
      <c r="C14" s="111"/>
      <c r="D14" s="111"/>
      <c r="E14" s="10"/>
      <c r="F14" s="11"/>
    </row>
    <row r="15" spans="2:6" ht="17.25" x14ac:dyDescent="0.25">
      <c r="B15" s="32" t="s">
        <v>20</v>
      </c>
      <c r="C15" s="33"/>
      <c r="D15" s="34"/>
      <c r="E15" s="35"/>
      <c r="F15" s="36">
        <v>606078.35</v>
      </c>
    </row>
    <row r="16" spans="2:6" ht="18" thickBot="1" x14ac:dyDescent="0.3">
      <c r="B16" s="37" t="s">
        <v>21</v>
      </c>
      <c r="C16" s="22"/>
      <c r="D16" s="23"/>
      <c r="E16" s="38"/>
      <c r="F16" s="39">
        <v>277796.23560000001</v>
      </c>
    </row>
    <row r="17" spans="2:16" ht="18.75" thickBot="1" x14ac:dyDescent="0.3">
      <c r="D17" s="102" t="s">
        <v>44</v>
      </c>
      <c r="E17" s="103"/>
      <c r="F17" s="40">
        <f>F15+F16</f>
        <v>883874.58559999999</v>
      </c>
    </row>
    <row r="18" spans="2:16" ht="19.5" thickBot="1" x14ac:dyDescent="0.35">
      <c r="B18" s="95" t="s">
        <v>67</v>
      </c>
      <c r="C18" s="96" t="s">
        <v>33</v>
      </c>
      <c r="D18" s="97" t="s">
        <v>22</v>
      </c>
      <c r="E18" s="98" t="s">
        <v>23</v>
      </c>
      <c r="F18" s="12" t="s">
        <v>24</v>
      </c>
    </row>
    <row r="19" spans="2:16" ht="17.25" x14ac:dyDescent="0.3">
      <c r="B19" s="13" t="s">
        <v>25</v>
      </c>
      <c r="C19" s="5">
        <v>1</v>
      </c>
      <c r="D19" s="14">
        <v>0.02</v>
      </c>
      <c r="E19" s="26">
        <f>D19*$F$17</f>
        <v>17677.491711999999</v>
      </c>
      <c r="F19" s="28">
        <v>0</v>
      </c>
    </row>
    <row r="20" spans="2:16" ht="17.25" x14ac:dyDescent="0.3">
      <c r="B20" s="15" t="s">
        <v>26</v>
      </c>
      <c r="C20" s="6">
        <v>2</v>
      </c>
      <c r="D20" s="16">
        <v>0.15</v>
      </c>
      <c r="E20" s="41">
        <f t="shared" ref="E20:E25" si="0">D20*$F$17</f>
        <v>132581.18784</v>
      </c>
      <c r="F20" s="29">
        <v>0</v>
      </c>
    </row>
    <row r="21" spans="2:16" ht="17.25" x14ac:dyDescent="0.3">
      <c r="B21" s="15" t="s">
        <v>27</v>
      </c>
      <c r="C21" s="6">
        <v>3</v>
      </c>
      <c r="D21" s="16">
        <v>0.2</v>
      </c>
      <c r="E21" s="41">
        <f t="shared" si="0"/>
        <v>176774.91712</v>
      </c>
      <c r="F21" s="29">
        <v>0</v>
      </c>
    </row>
    <row r="22" spans="2:16" ht="17.25" x14ac:dyDescent="0.3">
      <c r="B22" s="15" t="s">
        <v>28</v>
      </c>
      <c r="C22" s="6" t="s">
        <v>34</v>
      </c>
      <c r="D22" s="16">
        <v>0.1</v>
      </c>
      <c r="E22" s="41">
        <f t="shared" si="0"/>
        <v>88387.458559999999</v>
      </c>
      <c r="F22" s="29">
        <v>0</v>
      </c>
    </row>
    <row r="23" spans="2:16" ht="17.25" x14ac:dyDescent="0.3">
      <c r="B23" s="15" t="s">
        <v>29</v>
      </c>
      <c r="C23" s="6" t="s">
        <v>35</v>
      </c>
      <c r="D23" s="16">
        <v>0.2</v>
      </c>
      <c r="E23" s="41">
        <f t="shared" si="0"/>
        <v>176774.91712</v>
      </c>
      <c r="F23" s="29">
        <v>0</v>
      </c>
    </row>
    <row r="24" spans="2:16" ht="17.25" x14ac:dyDescent="0.3">
      <c r="B24" s="15" t="s">
        <v>30</v>
      </c>
      <c r="C24" s="6">
        <v>5</v>
      </c>
      <c r="D24" s="16">
        <v>0.3</v>
      </c>
      <c r="E24" s="41">
        <f t="shared" si="0"/>
        <v>265162.37568</v>
      </c>
      <c r="F24" s="29">
        <v>265162.37568</v>
      </c>
    </row>
    <row r="25" spans="2:16" ht="18" thickBot="1" x14ac:dyDescent="0.35">
      <c r="B25" s="17" t="s">
        <v>31</v>
      </c>
      <c r="C25" s="18">
        <v>6</v>
      </c>
      <c r="D25" s="19">
        <v>0.03</v>
      </c>
      <c r="E25" s="27">
        <f t="shared" si="0"/>
        <v>26516.237568</v>
      </c>
      <c r="F25" s="30">
        <v>26516.237568</v>
      </c>
    </row>
    <row r="26" spans="2:16" ht="19.5" thickBot="1" x14ac:dyDescent="0.35">
      <c r="B26" s="4"/>
      <c r="D26" s="102" t="s">
        <v>32</v>
      </c>
      <c r="E26" s="103"/>
      <c r="F26" s="31">
        <f>SUM(F19:F25)</f>
        <v>291678.61324799998</v>
      </c>
    </row>
    <row r="27" spans="2:16" ht="15.75" thickBot="1" x14ac:dyDescent="0.3"/>
    <row r="28" spans="2:16" ht="18.75" thickBot="1" x14ac:dyDescent="0.3">
      <c r="B28" s="112" t="s">
        <v>8</v>
      </c>
      <c r="C28" s="113"/>
      <c r="D28" s="113"/>
      <c r="E28" s="114"/>
      <c r="F28" s="47">
        <v>3</v>
      </c>
      <c r="P28" s="56"/>
    </row>
    <row r="29" spans="2:16" ht="17.25" x14ac:dyDescent="0.3">
      <c r="B29" s="148" t="s">
        <v>38</v>
      </c>
      <c r="C29" s="149"/>
      <c r="D29" s="149"/>
      <c r="E29" s="34"/>
      <c r="F29" s="50">
        <f>F26</f>
        <v>291678.61324799998</v>
      </c>
    </row>
    <row r="30" spans="2:16" ht="18" thickBot="1" x14ac:dyDescent="0.35">
      <c r="B30" s="150" t="s">
        <v>74</v>
      </c>
      <c r="C30" s="151"/>
      <c r="D30" s="151"/>
      <c r="E30" s="152"/>
      <c r="F30" s="30">
        <f>F26-(F26*10%)</f>
        <v>262510.75192319998</v>
      </c>
    </row>
    <row r="31" spans="2:16" ht="16.5" thickBot="1" x14ac:dyDescent="0.3">
      <c r="B31" s="144" t="s">
        <v>75</v>
      </c>
      <c r="C31" s="145"/>
      <c r="D31" s="145"/>
      <c r="E31" s="146">
        <v>0.1</v>
      </c>
      <c r="F31" s="147">
        <f>F30-(F30*E31)</f>
        <v>236259.67673087999</v>
      </c>
    </row>
    <row r="33" spans="2:16" ht="15.75" thickBot="1" x14ac:dyDescent="0.3"/>
    <row r="34" spans="2:16" ht="18.75" thickBot="1" x14ac:dyDescent="0.3">
      <c r="B34" s="115" t="s">
        <v>37</v>
      </c>
      <c r="C34" s="116"/>
      <c r="D34" s="116"/>
      <c r="E34" s="116"/>
      <c r="F34" s="117"/>
      <c r="M34" s="56"/>
      <c r="O34" s="1"/>
    </row>
    <row r="35" spans="2:16" ht="19.5" customHeight="1" x14ac:dyDescent="0.3">
      <c r="B35" s="148" t="s">
        <v>73</v>
      </c>
      <c r="C35" s="149"/>
      <c r="D35" s="149"/>
      <c r="E35" s="34"/>
      <c r="F35" s="118">
        <f>F31/F28</f>
        <v>78753.225576960001</v>
      </c>
      <c r="M35" s="56"/>
    </row>
    <row r="36" spans="2:16" ht="15.75" customHeight="1" thickBot="1" x14ac:dyDescent="0.3">
      <c r="B36" s="51" t="s">
        <v>41</v>
      </c>
      <c r="C36" s="23"/>
      <c r="D36" s="23"/>
      <c r="E36" s="23"/>
      <c r="F36" s="119"/>
      <c r="M36" s="56"/>
      <c r="P36" s="1"/>
    </row>
    <row r="37" spans="2:16" ht="18" thickBot="1" x14ac:dyDescent="0.35">
      <c r="B37" s="52" t="s">
        <v>39</v>
      </c>
      <c r="C37" s="53"/>
      <c r="D37" s="53"/>
      <c r="E37" s="53"/>
      <c r="F37" s="54"/>
    </row>
    <row r="38" spans="2:16" ht="17.25" x14ac:dyDescent="0.3">
      <c r="B38" s="13" t="s">
        <v>68</v>
      </c>
      <c r="C38" s="34"/>
      <c r="D38" s="34"/>
      <c r="E38" s="34"/>
      <c r="F38" s="50">
        <f>J38*4</f>
        <v>2340</v>
      </c>
      <c r="J38" s="84">
        <f>90*6.5</f>
        <v>585</v>
      </c>
      <c r="K38" t="s">
        <v>40</v>
      </c>
      <c r="N38" s="1">
        <f>J38*4</f>
        <v>2340</v>
      </c>
    </row>
    <row r="39" spans="2:16" ht="17.25" x14ac:dyDescent="0.3">
      <c r="B39" s="15" t="s">
        <v>69</v>
      </c>
      <c r="F39" s="49">
        <f>781/60*J39*4</f>
        <v>4373.6000000000004</v>
      </c>
      <c r="J39" s="48">
        <f>42*2</f>
        <v>84</v>
      </c>
      <c r="K39" t="s">
        <v>40</v>
      </c>
      <c r="N39" s="1">
        <f>781/60*J39*4</f>
        <v>4373.6000000000004</v>
      </c>
    </row>
    <row r="40" spans="2:16" ht="18" thickBot="1" x14ac:dyDescent="0.35">
      <c r="B40" s="17" t="s">
        <v>46</v>
      </c>
      <c r="C40" s="23"/>
      <c r="D40" s="23"/>
      <c r="E40" s="23"/>
      <c r="F40" s="68">
        <f>'Prints - Addendum A'!E51</f>
        <v>6030.5</v>
      </c>
    </row>
    <row r="41" spans="2:16" ht="18.75" thickBot="1" x14ac:dyDescent="0.3">
      <c r="D41" s="102" t="s">
        <v>42</v>
      </c>
      <c r="E41" s="103"/>
      <c r="F41" s="31">
        <f>SUM(F35:F40)</f>
        <v>91497.325576960007</v>
      </c>
    </row>
    <row r="42" spans="2:16" x14ac:dyDescent="0.25">
      <c r="J42">
        <f>781/60</f>
        <v>13.016666666666667</v>
      </c>
    </row>
    <row r="43" spans="2:16" x14ac:dyDescent="0.25">
      <c r="J43">
        <f>J42*J39</f>
        <v>1093.4000000000001</v>
      </c>
    </row>
    <row r="44" spans="2:16" x14ac:dyDescent="0.25">
      <c r="M44" s="1"/>
    </row>
    <row r="45" spans="2:16" x14ac:dyDescent="0.25">
      <c r="J45">
        <v>100247.6839744</v>
      </c>
      <c r="M45" s="1"/>
    </row>
    <row r="46" spans="2:16" x14ac:dyDescent="0.25">
      <c r="J46" s="2"/>
      <c r="K46" s="2"/>
    </row>
    <row r="47" spans="2:16" x14ac:dyDescent="0.25">
      <c r="J47" s="2"/>
    </row>
  </sheetData>
  <mergeCells count="14">
    <mergeCell ref="D41:E41"/>
    <mergeCell ref="D26:E26"/>
    <mergeCell ref="B2:F2"/>
    <mergeCell ref="D17:E17"/>
    <mergeCell ref="B5:E5"/>
    <mergeCell ref="B14:D14"/>
    <mergeCell ref="D9:E9"/>
    <mergeCell ref="B28:E28"/>
    <mergeCell ref="B34:F34"/>
    <mergeCell ref="F35:F36"/>
    <mergeCell ref="B4:F4"/>
    <mergeCell ref="B29:D29"/>
    <mergeCell ref="B35:D35"/>
    <mergeCell ref="B30:E30"/>
  </mergeCells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020C4-D3A5-4B63-B66A-6B902B9F9E36}">
  <sheetPr>
    <pageSetUpPr fitToPage="1"/>
  </sheetPr>
  <dimension ref="B2:O51"/>
  <sheetViews>
    <sheetView workbookViewId="0">
      <selection activeCell="R18" sqref="R18"/>
    </sheetView>
  </sheetViews>
  <sheetFormatPr defaultRowHeight="15" x14ac:dyDescent="0.25"/>
  <cols>
    <col min="1" max="1" width="9.140625" customWidth="1"/>
    <col min="2" max="2" width="23.140625" bestFit="1" customWidth="1"/>
    <col min="3" max="3" width="6" bestFit="1" customWidth="1"/>
    <col min="5" max="5" width="20.85546875" customWidth="1"/>
    <col min="6" max="6" width="9.140625" customWidth="1"/>
    <col min="7" max="7" width="18.42578125" bestFit="1" customWidth="1"/>
    <col min="10" max="10" width="16.140625" bestFit="1" customWidth="1"/>
    <col min="11" max="11" width="9.140625" customWidth="1"/>
    <col min="12" max="12" width="18.42578125" bestFit="1" customWidth="1"/>
    <col min="15" max="15" width="16.140625" bestFit="1" customWidth="1"/>
    <col min="16" max="16" width="9.140625" customWidth="1"/>
  </cols>
  <sheetData>
    <row r="2" spans="2:15" ht="17.25" thickBot="1" x14ac:dyDescent="0.35">
      <c r="B2" s="20"/>
      <c r="C2" s="20"/>
      <c r="D2" s="20"/>
      <c r="E2" s="20"/>
    </row>
    <row r="3" spans="2:15" ht="18" thickBot="1" x14ac:dyDescent="0.35">
      <c r="B3" s="123" t="s">
        <v>12</v>
      </c>
      <c r="C3" s="124"/>
      <c r="D3" s="124"/>
      <c r="E3" s="125"/>
      <c r="G3" s="123" t="s">
        <v>13</v>
      </c>
      <c r="H3" s="124"/>
      <c r="I3" s="124"/>
      <c r="J3" s="125"/>
      <c r="L3" s="123" t="s">
        <v>14</v>
      </c>
      <c r="M3" s="124"/>
      <c r="N3" s="124"/>
      <c r="O3" s="125"/>
    </row>
    <row r="4" spans="2:15" ht="16.5" thickBot="1" x14ac:dyDescent="0.3">
      <c r="B4" s="134" t="s">
        <v>59</v>
      </c>
      <c r="C4" s="135"/>
      <c r="D4" s="135"/>
      <c r="E4" s="136"/>
      <c r="G4" s="134" t="s">
        <v>59</v>
      </c>
      <c r="H4" s="135"/>
      <c r="I4" s="135"/>
      <c r="J4" s="136"/>
      <c r="L4" s="134" t="s">
        <v>59</v>
      </c>
      <c r="M4" s="135"/>
      <c r="N4" s="135"/>
      <c r="O4" s="136"/>
    </row>
    <row r="5" spans="2:15" ht="16.5" thickBot="1" x14ac:dyDescent="0.3">
      <c r="B5" s="131" t="s">
        <v>55</v>
      </c>
      <c r="C5" s="132"/>
      <c r="D5" s="132"/>
      <c r="E5" s="133"/>
      <c r="G5" s="131" t="s">
        <v>55</v>
      </c>
      <c r="H5" s="132"/>
      <c r="I5" s="132"/>
      <c r="J5" s="133"/>
      <c r="L5" s="131" t="s">
        <v>55</v>
      </c>
      <c r="M5" s="132"/>
      <c r="N5" s="132"/>
      <c r="O5" s="133"/>
    </row>
    <row r="6" spans="2:15" ht="18" thickBot="1" x14ac:dyDescent="0.35">
      <c r="B6" s="64" t="s">
        <v>50</v>
      </c>
      <c r="C6" s="65" t="s">
        <v>48</v>
      </c>
      <c r="D6" s="66" t="s">
        <v>49</v>
      </c>
      <c r="E6" s="67" t="s">
        <v>11</v>
      </c>
      <c r="G6" s="64" t="s">
        <v>50</v>
      </c>
      <c r="H6" s="65" t="s">
        <v>48</v>
      </c>
      <c r="I6" s="66" t="s">
        <v>49</v>
      </c>
      <c r="J6" s="67" t="s">
        <v>11</v>
      </c>
      <c r="L6" s="64" t="s">
        <v>50</v>
      </c>
      <c r="M6" s="65" t="s">
        <v>48</v>
      </c>
      <c r="N6" s="66" t="s">
        <v>49</v>
      </c>
      <c r="O6" s="67" t="s">
        <v>11</v>
      </c>
    </row>
    <row r="7" spans="2:15" ht="16.5" x14ac:dyDescent="0.3">
      <c r="B7" s="57" t="s">
        <v>47</v>
      </c>
      <c r="C7" s="58">
        <v>30</v>
      </c>
      <c r="D7" s="58">
        <v>7</v>
      </c>
      <c r="E7" s="80">
        <f>D7*C7</f>
        <v>210</v>
      </c>
      <c r="G7" s="57" t="s">
        <v>47</v>
      </c>
      <c r="H7" s="58">
        <v>30</v>
      </c>
      <c r="I7" s="58">
        <v>3</v>
      </c>
      <c r="J7" s="80">
        <f>I7*H7</f>
        <v>90</v>
      </c>
      <c r="L7" s="57" t="s">
        <v>47</v>
      </c>
      <c r="M7" s="58">
        <v>30</v>
      </c>
      <c r="N7" s="58">
        <v>6</v>
      </c>
      <c r="O7" s="80">
        <f>N7*M7</f>
        <v>180</v>
      </c>
    </row>
    <row r="8" spans="2:15" ht="16.5" x14ac:dyDescent="0.3">
      <c r="B8" s="59" t="s">
        <v>45</v>
      </c>
      <c r="C8" s="20">
        <v>10</v>
      </c>
      <c r="D8" s="20">
        <v>3</v>
      </c>
      <c r="E8" s="81">
        <f t="shared" ref="E8:E9" si="0">D8*C8</f>
        <v>30</v>
      </c>
      <c r="G8" s="59" t="s">
        <v>45</v>
      </c>
      <c r="H8" s="20">
        <v>10</v>
      </c>
      <c r="I8" s="20">
        <v>0</v>
      </c>
      <c r="J8" s="81">
        <f>I8*H8</f>
        <v>0</v>
      </c>
      <c r="L8" s="59" t="s">
        <v>45</v>
      </c>
      <c r="M8" s="20">
        <v>10</v>
      </c>
      <c r="N8" s="20">
        <v>0</v>
      </c>
      <c r="O8" s="81">
        <f>N8*M8</f>
        <v>0</v>
      </c>
    </row>
    <row r="9" spans="2:15" ht="16.5" x14ac:dyDescent="0.3">
      <c r="B9" s="60" t="s">
        <v>58</v>
      </c>
      <c r="C9" s="61">
        <v>5</v>
      </c>
      <c r="D9" s="61">
        <v>10</v>
      </c>
      <c r="E9" s="82">
        <f t="shared" si="0"/>
        <v>50</v>
      </c>
      <c r="G9" s="60" t="s">
        <v>58</v>
      </c>
      <c r="H9" s="61">
        <v>5</v>
      </c>
      <c r="I9" s="61">
        <v>15</v>
      </c>
      <c r="J9" s="82">
        <f>I9*H9</f>
        <v>75</v>
      </c>
      <c r="L9" s="60" t="s">
        <v>58</v>
      </c>
      <c r="M9" s="61">
        <v>5</v>
      </c>
      <c r="N9" s="61">
        <v>15</v>
      </c>
      <c r="O9" s="82">
        <f>N9*M9</f>
        <v>75</v>
      </c>
    </row>
    <row r="10" spans="2:15" ht="17.25" thickBot="1" x14ac:dyDescent="0.35">
      <c r="B10" s="57" t="s">
        <v>54</v>
      </c>
      <c r="C10" s="58"/>
      <c r="D10" s="58"/>
      <c r="E10" s="83">
        <f>SUM(E7:E9)</f>
        <v>290</v>
      </c>
      <c r="G10" s="57" t="s">
        <v>54</v>
      </c>
      <c r="H10" s="58"/>
      <c r="I10" s="58"/>
      <c r="J10" s="83">
        <f>SUM(J7:J9)</f>
        <v>165</v>
      </c>
      <c r="L10" s="57" t="s">
        <v>54</v>
      </c>
      <c r="M10" s="58"/>
      <c r="N10" s="58"/>
      <c r="O10" s="83">
        <f>SUM(O7:O9)</f>
        <v>255</v>
      </c>
    </row>
    <row r="11" spans="2:15" ht="17.25" thickBot="1" x14ac:dyDescent="0.35">
      <c r="B11" s="62" t="s">
        <v>53</v>
      </c>
      <c r="C11" s="63"/>
      <c r="D11" s="63">
        <v>3</v>
      </c>
      <c r="E11" s="79">
        <f>E10*D11</f>
        <v>870</v>
      </c>
      <c r="G11" s="62" t="s">
        <v>53</v>
      </c>
      <c r="H11" s="63"/>
      <c r="I11" s="63">
        <v>3</v>
      </c>
      <c r="J11" s="79">
        <f>J10*I11</f>
        <v>495</v>
      </c>
      <c r="L11" s="62" t="s">
        <v>53</v>
      </c>
      <c r="M11" s="63"/>
      <c r="N11" s="63">
        <v>3</v>
      </c>
      <c r="O11" s="79">
        <f>O10*N11</f>
        <v>765</v>
      </c>
    </row>
    <row r="12" spans="2:15" ht="15.75" thickBot="1" x14ac:dyDescent="0.3"/>
    <row r="13" spans="2:15" ht="16.5" thickBot="1" x14ac:dyDescent="0.3">
      <c r="B13" s="131" t="s">
        <v>56</v>
      </c>
      <c r="C13" s="132"/>
      <c r="D13" s="132"/>
      <c r="E13" s="133"/>
      <c r="G13" s="131" t="s">
        <v>56</v>
      </c>
      <c r="H13" s="132"/>
      <c r="I13" s="132"/>
      <c r="J13" s="133"/>
      <c r="L13" s="131" t="s">
        <v>56</v>
      </c>
      <c r="M13" s="132"/>
      <c r="N13" s="132"/>
      <c r="O13" s="133"/>
    </row>
    <row r="14" spans="2:15" ht="16.5" x14ac:dyDescent="0.3">
      <c r="B14" s="59" t="s">
        <v>51</v>
      </c>
      <c r="C14" s="20">
        <v>6.5</v>
      </c>
      <c r="D14" s="20">
        <v>14</v>
      </c>
      <c r="E14" s="80">
        <f>D14*C14</f>
        <v>91</v>
      </c>
      <c r="G14" s="59" t="s">
        <v>51</v>
      </c>
      <c r="H14" s="20">
        <v>6.5</v>
      </c>
      <c r="I14" s="20">
        <v>14</v>
      </c>
      <c r="J14" s="80">
        <f>I14*H14</f>
        <v>91</v>
      </c>
      <c r="L14" s="59" t="s">
        <v>51</v>
      </c>
      <c r="M14" s="20">
        <v>6.5</v>
      </c>
      <c r="N14" s="20">
        <v>14</v>
      </c>
      <c r="O14" s="80">
        <f>N14*M14</f>
        <v>91</v>
      </c>
    </row>
    <row r="15" spans="2:15" ht="16.5" x14ac:dyDescent="0.3">
      <c r="B15" s="60" t="s">
        <v>52</v>
      </c>
      <c r="C15" s="61">
        <f>781/60</f>
        <v>13.016666666666667</v>
      </c>
      <c r="D15" s="61">
        <v>30</v>
      </c>
      <c r="E15" s="82">
        <f>D15*C15</f>
        <v>390.5</v>
      </c>
      <c r="G15" s="60" t="s">
        <v>52</v>
      </c>
      <c r="H15" s="61">
        <f>781/60</f>
        <v>13.016666666666667</v>
      </c>
      <c r="I15" s="61">
        <v>30</v>
      </c>
      <c r="J15" s="82">
        <f>I15*H15</f>
        <v>390.5</v>
      </c>
      <c r="L15" s="60" t="s">
        <v>52</v>
      </c>
      <c r="M15" s="61">
        <f>781/60</f>
        <v>13.016666666666667</v>
      </c>
      <c r="N15" s="61">
        <v>30</v>
      </c>
      <c r="O15" s="82">
        <f>N15*M15</f>
        <v>390.5</v>
      </c>
    </row>
    <row r="16" spans="2:15" ht="17.25" thickBot="1" x14ac:dyDescent="0.35">
      <c r="B16" s="128" t="s">
        <v>57</v>
      </c>
      <c r="C16" s="129"/>
      <c r="D16" s="130"/>
      <c r="E16" s="83">
        <f>SUM(E14:E15)</f>
        <v>481.5</v>
      </c>
      <c r="G16" s="128" t="s">
        <v>57</v>
      </c>
      <c r="H16" s="129"/>
      <c r="I16" s="130"/>
      <c r="J16" s="83">
        <f>SUM(J14:J15)</f>
        <v>481.5</v>
      </c>
      <c r="L16" s="128" t="s">
        <v>57</v>
      </c>
      <c r="M16" s="129"/>
      <c r="N16" s="130"/>
      <c r="O16" s="83">
        <f>SUM(O14:O15)</f>
        <v>481.5</v>
      </c>
    </row>
    <row r="17" spans="2:15" ht="18" thickBot="1" x14ac:dyDescent="0.35">
      <c r="B17" s="126" t="s">
        <v>63</v>
      </c>
      <c r="C17" s="127"/>
      <c r="D17" s="127"/>
      <c r="E17" s="79">
        <f>SUM(E16+E11)</f>
        <v>1351.5</v>
      </c>
      <c r="G17" s="126" t="s">
        <v>63</v>
      </c>
      <c r="H17" s="127"/>
      <c r="I17" s="127"/>
      <c r="J17" s="79">
        <f>SUM(J16+J11)</f>
        <v>976.5</v>
      </c>
      <c r="L17" s="126" t="s">
        <v>63</v>
      </c>
      <c r="M17" s="127"/>
      <c r="N17" s="127"/>
      <c r="O17" s="79">
        <f>SUM(O16+O11)</f>
        <v>1246.5</v>
      </c>
    </row>
    <row r="20" spans="2:15" ht="15.75" thickBot="1" x14ac:dyDescent="0.3"/>
    <row r="21" spans="2:15" ht="16.5" thickBot="1" x14ac:dyDescent="0.3">
      <c r="B21" s="134" t="s">
        <v>60</v>
      </c>
      <c r="C21" s="135"/>
      <c r="D21" s="135"/>
      <c r="E21" s="136"/>
      <c r="G21" s="134" t="s">
        <v>60</v>
      </c>
      <c r="H21" s="135"/>
      <c r="I21" s="135"/>
      <c r="J21" s="136"/>
      <c r="L21" s="134" t="s">
        <v>60</v>
      </c>
      <c r="M21" s="135"/>
      <c r="N21" s="135"/>
      <c r="O21" s="136"/>
    </row>
    <row r="22" spans="2:15" ht="16.5" thickBot="1" x14ac:dyDescent="0.3">
      <c r="B22" s="131" t="s">
        <v>55</v>
      </c>
      <c r="C22" s="132"/>
      <c r="D22" s="132"/>
      <c r="E22" s="133"/>
      <c r="G22" s="131" t="s">
        <v>55</v>
      </c>
      <c r="H22" s="132"/>
      <c r="I22" s="132"/>
      <c r="J22" s="133"/>
      <c r="L22" s="131" t="s">
        <v>55</v>
      </c>
      <c r="M22" s="132"/>
      <c r="N22" s="132"/>
      <c r="O22" s="133"/>
    </row>
    <row r="23" spans="2:15" ht="18" thickBot="1" x14ac:dyDescent="0.35">
      <c r="B23" s="64" t="s">
        <v>50</v>
      </c>
      <c r="C23" s="65" t="s">
        <v>48</v>
      </c>
      <c r="D23" s="66" t="s">
        <v>49</v>
      </c>
      <c r="E23" s="67" t="s">
        <v>11</v>
      </c>
      <c r="G23" s="64" t="s">
        <v>50</v>
      </c>
      <c r="H23" s="65" t="s">
        <v>48</v>
      </c>
      <c r="I23" s="66" t="s">
        <v>49</v>
      </c>
      <c r="J23" s="67" t="s">
        <v>11</v>
      </c>
      <c r="L23" s="64" t="s">
        <v>50</v>
      </c>
      <c r="M23" s="65" t="s">
        <v>48</v>
      </c>
      <c r="N23" s="66" t="s">
        <v>49</v>
      </c>
      <c r="O23" s="67" t="s">
        <v>11</v>
      </c>
    </row>
    <row r="24" spans="2:15" ht="16.5" x14ac:dyDescent="0.3">
      <c r="B24" s="57" t="s">
        <v>47</v>
      </c>
      <c r="C24" s="58">
        <v>30</v>
      </c>
      <c r="D24" s="58">
        <v>3</v>
      </c>
      <c r="E24" s="80">
        <f>D24*C24</f>
        <v>90</v>
      </c>
      <c r="G24" s="57" t="s">
        <v>47</v>
      </c>
      <c r="H24" s="58">
        <v>30</v>
      </c>
      <c r="I24" s="58">
        <v>2</v>
      </c>
      <c r="J24" s="80">
        <f>I24*H24</f>
        <v>60</v>
      </c>
      <c r="L24" s="57" t="s">
        <v>47</v>
      </c>
      <c r="M24" s="58">
        <v>30</v>
      </c>
      <c r="N24" s="58">
        <v>3</v>
      </c>
      <c r="O24" s="80">
        <f>N24*M24</f>
        <v>90</v>
      </c>
    </row>
    <row r="25" spans="2:15" ht="16.5" x14ac:dyDescent="0.3">
      <c r="B25" s="59" t="s">
        <v>45</v>
      </c>
      <c r="C25" s="20">
        <v>10</v>
      </c>
      <c r="D25" s="20">
        <v>1</v>
      </c>
      <c r="E25" s="81">
        <f t="shared" ref="E25:E26" si="1">D25*C25</f>
        <v>10</v>
      </c>
      <c r="G25" s="59" t="s">
        <v>45</v>
      </c>
      <c r="H25" s="20">
        <v>10</v>
      </c>
      <c r="I25" s="20">
        <v>0</v>
      </c>
      <c r="J25" s="81">
        <f t="shared" ref="J25:J26" si="2">I25*H25</f>
        <v>0</v>
      </c>
      <c r="L25" s="59" t="s">
        <v>45</v>
      </c>
      <c r="M25" s="20">
        <v>10</v>
      </c>
      <c r="N25" s="20">
        <v>0</v>
      </c>
      <c r="O25" s="81">
        <f t="shared" ref="O25:O26" si="3">N25*M25</f>
        <v>0</v>
      </c>
    </row>
    <row r="26" spans="2:15" ht="16.5" x14ac:dyDescent="0.3">
      <c r="B26" s="60" t="s">
        <v>58</v>
      </c>
      <c r="C26" s="61">
        <v>5</v>
      </c>
      <c r="D26" s="61">
        <v>5</v>
      </c>
      <c r="E26" s="82">
        <f t="shared" si="1"/>
        <v>25</v>
      </c>
      <c r="G26" s="60" t="s">
        <v>58</v>
      </c>
      <c r="H26" s="61">
        <v>5</v>
      </c>
      <c r="I26" s="61">
        <v>5</v>
      </c>
      <c r="J26" s="82">
        <f t="shared" si="2"/>
        <v>25</v>
      </c>
      <c r="L26" s="60" t="s">
        <v>58</v>
      </c>
      <c r="M26" s="61">
        <v>5</v>
      </c>
      <c r="N26" s="61">
        <v>5</v>
      </c>
      <c r="O26" s="82">
        <f t="shared" si="3"/>
        <v>25</v>
      </c>
    </row>
    <row r="27" spans="2:15" ht="17.25" thickBot="1" x14ac:dyDescent="0.35">
      <c r="B27" s="57" t="s">
        <v>54</v>
      </c>
      <c r="C27" s="58"/>
      <c r="D27" s="58"/>
      <c r="E27" s="83">
        <f>SUM(E24:E26)</f>
        <v>125</v>
      </c>
      <c r="G27" s="57" t="s">
        <v>54</v>
      </c>
      <c r="H27" s="58"/>
      <c r="I27" s="58"/>
      <c r="J27" s="83">
        <f>SUM(J24:J26)</f>
        <v>85</v>
      </c>
      <c r="L27" s="57" t="s">
        <v>54</v>
      </c>
      <c r="M27" s="58"/>
      <c r="N27" s="58"/>
      <c r="O27" s="83">
        <f>SUM(O24:O26)</f>
        <v>115</v>
      </c>
    </row>
    <row r="28" spans="2:15" ht="17.25" thickBot="1" x14ac:dyDescent="0.35">
      <c r="B28" s="62" t="s">
        <v>62</v>
      </c>
      <c r="C28" s="63"/>
      <c r="D28" s="63">
        <v>3</v>
      </c>
      <c r="E28" s="79">
        <f>E27*D28</f>
        <v>375</v>
      </c>
      <c r="G28" s="62" t="s">
        <v>62</v>
      </c>
      <c r="H28" s="63"/>
      <c r="I28" s="63">
        <v>3</v>
      </c>
      <c r="J28" s="79">
        <f>J27*I28</f>
        <v>255</v>
      </c>
      <c r="L28" s="62" t="s">
        <v>62</v>
      </c>
      <c r="M28" s="63"/>
      <c r="N28" s="63">
        <v>3</v>
      </c>
      <c r="O28" s="79">
        <f>O27*N28</f>
        <v>345</v>
      </c>
    </row>
    <row r="29" spans="2:15" ht="15.75" thickBot="1" x14ac:dyDescent="0.3"/>
    <row r="30" spans="2:15" ht="16.5" thickBot="1" x14ac:dyDescent="0.3">
      <c r="B30" s="131" t="s">
        <v>56</v>
      </c>
      <c r="C30" s="132"/>
      <c r="D30" s="132"/>
      <c r="E30" s="133"/>
      <c r="G30" s="131" t="s">
        <v>56</v>
      </c>
      <c r="H30" s="132"/>
      <c r="I30" s="132"/>
      <c r="J30" s="133"/>
      <c r="L30" s="131" t="s">
        <v>56</v>
      </c>
      <c r="M30" s="132"/>
      <c r="N30" s="132"/>
      <c r="O30" s="133"/>
    </row>
    <row r="31" spans="2:15" ht="16.5" x14ac:dyDescent="0.3">
      <c r="B31" s="72" t="s">
        <v>51</v>
      </c>
      <c r="C31" s="73">
        <v>6.5</v>
      </c>
      <c r="D31" s="73">
        <v>14</v>
      </c>
      <c r="E31" s="76">
        <f>D31*C31</f>
        <v>91</v>
      </c>
      <c r="G31" s="72" t="s">
        <v>51</v>
      </c>
      <c r="H31" s="73">
        <v>6.5</v>
      </c>
      <c r="I31" s="73">
        <v>14</v>
      </c>
      <c r="J31" s="76">
        <f>I31*H31</f>
        <v>91</v>
      </c>
      <c r="L31" s="72" t="s">
        <v>51</v>
      </c>
      <c r="M31" s="73">
        <v>6.5</v>
      </c>
      <c r="N31" s="73">
        <v>14</v>
      </c>
      <c r="O31" s="76">
        <f>N31*M31</f>
        <v>91</v>
      </c>
    </row>
    <row r="32" spans="2:15" ht="16.5" x14ac:dyDescent="0.3">
      <c r="B32" s="74" t="s">
        <v>52</v>
      </c>
      <c r="C32" s="61">
        <f>781/60</f>
        <v>13.016666666666667</v>
      </c>
      <c r="D32" s="61">
        <v>30</v>
      </c>
      <c r="E32" s="77">
        <f>D32*C32</f>
        <v>390.5</v>
      </c>
      <c r="G32" s="74" t="s">
        <v>52</v>
      </c>
      <c r="H32" s="70">
        <f>781/60</f>
        <v>13.016666666666667</v>
      </c>
      <c r="I32" s="61">
        <v>30</v>
      </c>
      <c r="J32" s="77">
        <f>I32*H32</f>
        <v>390.5</v>
      </c>
      <c r="L32" s="74" t="s">
        <v>52</v>
      </c>
      <c r="M32" s="69">
        <f>781/60</f>
        <v>13.016666666666667</v>
      </c>
      <c r="N32" s="61">
        <v>30</v>
      </c>
      <c r="O32" s="77">
        <f>N32*M32</f>
        <v>390.5</v>
      </c>
    </row>
    <row r="33" spans="2:15" ht="17.25" thickBot="1" x14ac:dyDescent="0.35">
      <c r="B33" s="75" t="s">
        <v>57</v>
      </c>
      <c r="C33" s="71"/>
      <c r="D33" s="71"/>
      <c r="E33" s="78">
        <f>SUM(E31:E32)</f>
        <v>481.5</v>
      </c>
      <c r="G33" s="75" t="s">
        <v>57</v>
      </c>
      <c r="H33" s="71"/>
      <c r="I33" s="71"/>
      <c r="J33" s="78">
        <f>SUM(J31:J32)</f>
        <v>481.5</v>
      </c>
      <c r="L33" s="75" t="s">
        <v>57</v>
      </c>
      <c r="M33" s="71"/>
      <c r="N33" s="71"/>
      <c r="O33" s="78">
        <f>SUM(O31:O32)</f>
        <v>481.5</v>
      </c>
    </row>
    <row r="34" spans="2:15" ht="18" thickBot="1" x14ac:dyDescent="0.35">
      <c r="C34" s="123" t="s">
        <v>61</v>
      </c>
      <c r="D34" s="124"/>
      <c r="E34" s="79">
        <f>SUM(E33+E28)</f>
        <v>856.5</v>
      </c>
      <c r="H34" s="123" t="s">
        <v>61</v>
      </c>
      <c r="I34" s="124"/>
      <c r="J34" s="79">
        <f>SUM(J33+J28)</f>
        <v>736.5</v>
      </c>
      <c r="M34" s="123" t="s">
        <v>61</v>
      </c>
      <c r="N34" s="124"/>
      <c r="O34" s="79">
        <f>SUM(O33+O28)</f>
        <v>826.5</v>
      </c>
    </row>
    <row r="36" spans="2:15" ht="15.75" thickBot="1" x14ac:dyDescent="0.3"/>
    <row r="37" spans="2:15" ht="16.5" thickBot="1" x14ac:dyDescent="0.3">
      <c r="B37" s="134" t="s">
        <v>70</v>
      </c>
      <c r="C37" s="135"/>
      <c r="D37" s="135"/>
      <c r="E37" s="136"/>
    </row>
    <row r="38" spans="2:15" ht="16.5" x14ac:dyDescent="0.3">
      <c r="B38" s="72" t="s">
        <v>64</v>
      </c>
      <c r="C38" s="73"/>
      <c r="D38" s="73"/>
      <c r="E38" s="90">
        <v>52</v>
      </c>
    </row>
    <row r="39" spans="2:15" ht="17.25" thickBot="1" x14ac:dyDescent="0.35">
      <c r="B39" s="86" t="s">
        <v>65</v>
      </c>
      <c r="C39" s="88"/>
      <c r="D39" s="88"/>
      <c r="E39" s="99">
        <f>E38/12*3</f>
        <v>13</v>
      </c>
    </row>
    <row r="40" spans="2:15" ht="17.25" thickBot="1" x14ac:dyDescent="0.35">
      <c r="B40" s="20"/>
      <c r="C40" s="20"/>
      <c r="D40" s="20"/>
      <c r="E40" s="20"/>
    </row>
    <row r="41" spans="2:15" ht="17.25" thickBot="1" x14ac:dyDescent="0.35">
      <c r="B41" s="141" t="s">
        <v>71</v>
      </c>
      <c r="C41" s="142"/>
      <c r="D41" s="142"/>
      <c r="E41" s="143"/>
    </row>
    <row r="42" spans="2:15" ht="16.5" x14ac:dyDescent="0.3">
      <c r="B42" s="85" t="str">
        <f t="shared" ref="B42:B48" si="4">CONCATENATE("Week ",D42)</f>
        <v>Week 1</v>
      </c>
      <c r="C42" s="20"/>
      <c r="D42" s="20">
        <v>1</v>
      </c>
      <c r="E42" s="87">
        <f>SUM(E17+J17+O17)</f>
        <v>3574.5</v>
      </c>
    </row>
    <row r="43" spans="2:15" ht="16.5" x14ac:dyDescent="0.3">
      <c r="B43" s="85" t="str">
        <f t="shared" si="4"/>
        <v>Week 3</v>
      </c>
      <c r="C43" s="20"/>
      <c r="D43" s="20">
        <v>3</v>
      </c>
      <c r="E43" s="87">
        <f>SUM($E$34+$J$34+$O$34)</f>
        <v>2419.5</v>
      </c>
    </row>
    <row r="44" spans="2:15" ht="16.5" x14ac:dyDescent="0.3">
      <c r="B44" s="85" t="str">
        <f t="shared" si="4"/>
        <v>Week 5</v>
      </c>
      <c r="C44" s="20"/>
      <c r="D44" s="20">
        <v>5</v>
      </c>
      <c r="E44" s="87">
        <f t="shared" ref="E44:E48" si="5">SUM($E$34+$J$34+$O$34)</f>
        <v>2419.5</v>
      </c>
    </row>
    <row r="45" spans="2:15" ht="16.5" x14ac:dyDescent="0.3">
      <c r="B45" s="85" t="str">
        <f t="shared" si="4"/>
        <v>Week 7</v>
      </c>
      <c r="C45" s="20"/>
      <c r="D45" s="20">
        <v>7</v>
      </c>
      <c r="E45" s="87">
        <f t="shared" si="5"/>
        <v>2419.5</v>
      </c>
    </row>
    <row r="46" spans="2:15" ht="16.5" x14ac:dyDescent="0.3">
      <c r="B46" s="85" t="str">
        <f t="shared" si="4"/>
        <v>Week 9</v>
      </c>
      <c r="C46" s="20"/>
      <c r="D46" s="20">
        <v>9</v>
      </c>
      <c r="E46" s="87">
        <f t="shared" si="5"/>
        <v>2419.5</v>
      </c>
      <c r="G46" s="140"/>
      <c r="H46" s="140"/>
      <c r="I46" s="140"/>
      <c r="J46" s="140"/>
      <c r="L46" s="140"/>
      <c r="M46" s="140"/>
      <c r="N46" s="140"/>
      <c r="O46" s="140"/>
    </row>
    <row r="47" spans="2:15" ht="16.5" x14ac:dyDescent="0.3">
      <c r="B47" s="85" t="str">
        <f t="shared" si="4"/>
        <v>Week 11</v>
      </c>
      <c r="C47" s="20"/>
      <c r="D47" s="20">
        <v>11</v>
      </c>
      <c r="E47" s="87">
        <f t="shared" si="5"/>
        <v>2419.5</v>
      </c>
    </row>
    <row r="48" spans="2:15" ht="17.25" thickBot="1" x14ac:dyDescent="0.35">
      <c r="B48" s="86" t="str">
        <f t="shared" si="4"/>
        <v>Week 13</v>
      </c>
      <c r="C48" s="88"/>
      <c r="D48" s="88">
        <v>13</v>
      </c>
      <c r="E48" s="89">
        <f t="shared" si="5"/>
        <v>2419.5</v>
      </c>
    </row>
    <row r="49" spans="2:5" ht="18" thickBot="1" x14ac:dyDescent="0.35">
      <c r="B49" s="20"/>
      <c r="C49" s="123" t="s">
        <v>61</v>
      </c>
      <c r="D49" s="124"/>
      <c r="E49" s="101">
        <f>SUM(E42:E48)</f>
        <v>18091.5</v>
      </c>
    </row>
    <row r="50" spans="2:5" ht="17.25" thickBot="1" x14ac:dyDescent="0.35">
      <c r="B50" s="20"/>
      <c r="C50" s="20"/>
      <c r="D50" s="20"/>
      <c r="E50" s="100"/>
    </row>
    <row r="51" spans="2:5" ht="17.25" thickBot="1" x14ac:dyDescent="0.35">
      <c r="B51" s="137" t="s">
        <v>72</v>
      </c>
      <c r="C51" s="138"/>
      <c r="D51" s="139"/>
      <c r="E51" s="101">
        <f>E49/3</f>
        <v>6030.5</v>
      </c>
    </row>
  </sheetData>
  <mergeCells count="36">
    <mergeCell ref="B51:D51"/>
    <mergeCell ref="C49:D49"/>
    <mergeCell ref="G46:J46"/>
    <mergeCell ref="L46:O46"/>
    <mergeCell ref="B41:E41"/>
    <mergeCell ref="B37:E37"/>
    <mergeCell ref="C34:D34"/>
    <mergeCell ref="H34:I34"/>
    <mergeCell ref="M34:N34"/>
    <mergeCell ref="B30:E30"/>
    <mergeCell ref="G30:J30"/>
    <mergeCell ref="L30:O30"/>
    <mergeCell ref="L22:O22"/>
    <mergeCell ref="G3:J3"/>
    <mergeCell ref="G4:J4"/>
    <mergeCell ref="G5:J5"/>
    <mergeCell ref="G13:J13"/>
    <mergeCell ref="G17:I17"/>
    <mergeCell ref="L3:O3"/>
    <mergeCell ref="L4:O4"/>
    <mergeCell ref="L5:O5"/>
    <mergeCell ref="L13:O13"/>
    <mergeCell ref="L17:N17"/>
    <mergeCell ref="G16:I16"/>
    <mergeCell ref="L16:N16"/>
    <mergeCell ref="G21:J21"/>
    <mergeCell ref="L21:O21"/>
    <mergeCell ref="B3:E3"/>
    <mergeCell ref="B17:D17"/>
    <mergeCell ref="B16:D16"/>
    <mergeCell ref="B22:E22"/>
    <mergeCell ref="G22:J22"/>
    <mergeCell ref="B5:E5"/>
    <mergeCell ref="B4:E4"/>
    <mergeCell ref="B13:E13"/>
    <mergeCell ref="B21:E21"/>
  </mergeCells>
  <pageMargins left="0.7" right="0.7" top="0.75" bottom="0.75" header="0.3" footer="0.3"/>
  <pageSetup paperSize="9" scale="56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77791-43EE-451A-B128-4BD73EAE6887}">
  <dimension ref="B2:U19"/>
  <sheetViews>
    <sheetView workbookViewId="0">
      <selection activeCell="C7" sqref="C7"/>
    </sheetView>
  </sheetViews>
  <sheetFormatPr defaultRowHeight="15" x14ac:dyDescent="0.25"/>
  <cols>
    <col min="2" max="2" width="29.140625" bestFit="1" customWidth="1"/>
    <col min="3" max="3" width="14.140625" bestFit="1" customWidth="1"/>
    <col min="6" max="6" width="12.5703125" bestFit="1" customWidth="1"/>
    <col min="8" max="8" width="12.5703125" bestFit="1" customWidth="1"/>
    <col min="13" max="13" width="30.7109375" bestFit="1" customWidth="1"/>
    <col min="14" max="14" width="14.140625" bestFit="1" customWidth="1"/>
    <col min="15" max="15" width="12.7109375" bestFit="1" customWidth="1"/>
    <col min="21" max="21" width="11.140625" bestFit="1" customWidth="1"/>
  </cols>
  <sheetData>
    <row r="2" spans="2:21" x14ac:dyDescent="0.25">
      <c r="B2" t="s">
        <v>8</v>
      </c>
      <c r="C2">
        <v>3</v>
      </c>
      <c r="M2" t="s">
        <v>8</v>
      </c>
      <c r="N2">
        <v>3</v>
      </c>
      <c r="O2" s="1"/>
    </row>
    <row r="3" spans="2:21" x14ac:dyDescent="0.25">
      <c r="C3" s="1"/>
      <c r="N3" s="1"/>
      <c r="O3" s="1"/>
    </row>
    <row r="4" spans="2:21" x14ac:dyDescent="0.25">
      <c r="B4" t="s">
        <v>1</v>
      </c>
      <c r="C4" s="1">
        <v>6821362.9000000004</v>
      </c>
      <c r="M4" t="s">
        <v>1</v>
      </c>
      <c r="N4" s="1">
        <v>2504575</v>
      </c>
      <c r="O4" s="1"/>
      <c r="Q4" t="s">
        <v>0</v>
      </c>
      <c r="U4" s="2">
        <v>291678.61</v>
      </c>
    </row>
    <row r="5" spans="2:21" x14ac:dyDescent="0.25">
      <c r="B5" t="s">
        <v>9</v>
      </c>
      <c r="C5" s="1">
        <f>C4/1.1*3%</f>
        <v>186037.16999999998</v>
      </c>
      <c r="F5">
        <v>265162.37567999994</v>
      </c>
      <c r="H5" s="1">
        <f>C4*0.05</f>
        <v>341068.14500000002</v>
      </c>
      <c r="M5" t="s">
        <v>2</v>
      </c>
      <c r="N5" s="1">
        <v>125228.75</v>
      </c>
      <c r="O5" s="1"/>
      <c r="P5">
        <v>5.5</v>
      </c>
      <c r="Q5">
        <v>495</v>
      </c>
    </row>
    <row r="6" spans="2:21" x14ac:dyDescent="0.25">
      <c r="F6" s="3">
        <f>F5/C4</f>
        <v>3.8872345536696183E-2</v>
      </c>
    </row>
    <row r="7" spans="2:21" x14ac:dyDescent="0.25">
      <c r="B7" t="s">
        <v>3</v>
      </c>
      <c r="C7" s="1">
        <v>6000</v>
      </c>
      <c r="M7" t="s">
        <v>3</v>
      </c>
      <c r="N7" s="1">
        <v>6000</v>
      </c>
    </row>
    <row r="8" spans="2:21" x14ac:dyDescent="0.25">
      <c r="B8" t="s">
        <v>5</v>
      </c>
      <c r="C8" s="1">
        <f>1000*3</f>
        <v>3000</v>
      </c>
      <c r="M8" t="s">
        <v>4</v>
      </c>
      <c r="N8" s="1">
        <v>1200</v>
      </c>
    </row>
    <row r="9" spans="2:21" x14ac:dyDescent="0.25">
      <c r="M9" t="s">
        <v>5</v>
      </c>
      <c r="N9" s="1">
        <v>1000</v>
      </c>
      <c r="U9">
        <f>C5/U4</f>
        <v>0.63781560807630011</v>
      </c>
    </row>
    <row r="10" spans="2:21" x14ac:dyDescent="0.25">
      <c r="O10" s="1"/>
    </row>
    <row r="11" spans="2:21" x14ac:dyDescent="0.25">
      <c r="B11" t="s">
        <v>6</v>
      </c>
      <c r="C11" s="1">
        <f>C5+C7+C8</f>
        <v>195037.16999999998</v>
      </c>
      <c r="M11" t="s">
        <v>6</v>
      </c>
      <c r="N11" s="1">
        <f>SUM(N5)-SUM(N7:N9)</f>
        <v>117028.75</v>
      </c>
      <c r="U11" s="2">
        <f>U4*0.63781</f>
        <v>186035.53424409998</v>
      </c>
    </row>
    <row r="12" spans="2:21" x14ac:dyDescent="0.25">
      <c r="B12" t="s">
        <v>7</v>
      </c>
      <c r="C12" s="1">
        <f>C11/C2</f>
        <v>65012.389999999992</v>
      </c>
      <c r="M12" t="s">
        <v>7</v>
      </c>
      <c r="N12" s="1">
        <f>N11/N2</f>
        <v>39009.583333333336</v>
      </c>
    </row>
    <row r="19" spans="3:6" x14ac:dyDescent="0.25">
      <c r="C19">
        <f>C11/C4</f>
        <v>2.8592111702486898E-2</v>
      </c>
      <c r="F19" s="1">
        <f>C4*0.0285</f>
        <v>194408.84265000001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Professional Fees</vt:lpstr>
      <vt:lpstr>Prints - Addendum 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cp:lastPrinted>2025-02-10T14:12:28Z</cp:lastPrinted>
  <dcterms:created xsi:type="dcterms:W3CDTF">2025-01-24T15:17:01Z</dcterms:created>
  <dcterms:modified xsi:type="dcterms:W3CDTF">2025-02-11T07:40:18Z</dcterms:modified>
</cp:coreProperties>
</file>