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4\x022 - Danie Dicks\"/>
    </mc:Choice>
  </mc:AlternateContent>
  <xr:revisionPtr revIDLastSave="0" documentId="13_ncr:1_{9C2A74EA-6628-404F-915F-7555BFF06574}" xr6:coauthVersionLast="47" xr6:coauthVersionMax="47" xr10:uidLastSave="{00000000-0000-0000-0000-000000000000}"/>
  <bookViews>
    <workbookView xWindow="-120" yWindow="-120" windowWidth="29040" windowHeight="15720" activeTab="1" xr2:uid="{260A762B-E942-4A40-AAE5-7E980C9B525F}"/>
  </bookViews>
  <sheets>
    <sheet name="Employees" sheetId="1" r:id="rId1"/>
    <sheet name="Fees (MS)" sheetId="5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5" l="1"/>
  <c r="H53" i="5"/>
  <c r="G53" i="5"/>
  <c r="G54" i="5"/>
  <c r="G18" i="5"/>
  <c r="I96" i="5" l="1"/>
  <c r="F96" i="5"/>
  <c r="J87" i="5"/>
  <c r="H18" i="5"/>
  <c r="H36" i="5"/>
  <c r="G17" i="5" l="1"/>
  <c r="G16" i="5"/>
  <c r="H37" i="5"/>
  <c r="H34" i="5" l="1"/>
  <c r="H102" i="5"/>
  <c r="H96" i="5"/>
  <c r="K15" i="5" l="1"/>
  <c r="K23" i="5" s="1"/>
  <c r="F87" i="5" l="1"/>
  <c r="H87" i="5" s="1"/>
  <c r="J96" i="5" s="1"/>
  <c r="H59" i="5"/>
  <c r="E61" i="5" s="1"/>
  <c r="G59" i="5"/>
  <c r="G15" i="5"/>
  <c r="H44" i="5" l="1"/>
  <c r="H46" i="5" s="1"/>
  <c r="H17" i="5"/>
  <c r="H16" i="5"/>
  <c r="F15" i="5"/>
  <c r="E66" i="5"/>
  <c r="E67" i="5" s="1"/>
  <c r="H15" i="5" l="1"/>
  <c r="H25" i="5" s="1"/>
  <c r="E68" i="5"/>
  <c r="E70" i="5" s="1"/>
  <c r="C14" i="2"/>
  <c r="C15" i="2" s="1"/>
  <c r="K63" i="2"/>
  <c r="K21" i="1"/>
  <c r="F15" i="1"/>
  <c r="G15" i="1" s="1"/>
  <c r="C21" i="1" s="1"/>
  <c r="E21" i="1" s="1"/>
  <c r="G21" i="1" s="1"/>
  <c r="H26" i="5" l="1"/>
  <c r="H27" i="5" s="1"/>
  <c r="K14" i="5" s="1"/>
  <c r="K32" i="5" s="1"/>
  <c r="F79" i="5"/>
  <c r="H79" i="5" s="1"/>
  <c r="F78" i="5"/>
  <c r="H78" i="5" s="1"/>
  <c r="F76" i="5"/>
  <c r="H76" i="5" s="1"/>
  <c r="F74" i="5"/>
  <c r="H74" i="5" s="1"/>
  <c r="F77" i="5"/>
  <c r="H77" i="5" s="1"/>
  <c r="F75" i="5"/>
  <c r="H75" i="5" s="1"/>
  <c r="F73" i="5"/>
  <c r="L63" i="2"/>
  <c r="L64" i="2"/>
  <c r="H21" i="1"/>
  <c r="J78" i="5" l="1"/>
  <c r="K16" i="5"/>
  <c r="K19" i="5" s="1"/>
  <c r="K27" i="5"/>
  <c r="J37" i="5"/>
  <c r="K37" i="5" s="1"/>
  <c r="H89" i="5"/>
  <c r="H82" i="5"/>
  <c r="H73" i="5"/>
  <c r="L65" i="2"/>
  <c r="K64" i="2" s="1"/>
  <c r="E5" i="2"/>
  <c r="F14" i="1"/>
  <c r="G14" i="1" s="1"/>
  <c r="C20" i="1" s="1"/>
  <c r="F13" i="1"/>
  <c r="G13" i="1" s="1"/>
  <c r="C19" i="1" s="1"/>
  <c r="K22" i="5" l="1"/>
  <c r="K24" i="5" s="1"/>
  <c r="K28" i="5" s="1"/>
  <c r="K29" i="5" s="1"/>
  <c r="H93" i="5"/>
  <c r="H94" i="5"/>
  <c r="H92" i="5"/>
  <c r="H81" i="5"/>
  <c r="H84" i="5" s="1"/>
  <c r="E20" i="1"/>
  <c r="E19" i="1"/>
  <c r="G19" i="1" s="1"/>
  <c r="K25" i="2"/>
  <c r="K44" i="2"/>
  <c r="H100" i="5" l="1"/>
  <c r="H19" i="1"/>
  <c r="F5" i="2"/>
  <c r="G5" i="2" s="1"/>
  <c r="H5" i="2" s="1"/>
  <c r="L45" i="2"/>
  <c r="L44" i="2"/>
  <c r="L26" i="2"/>
  <c r="L25" i="2"/>
  <c r="C16" i="2"/>
  <c r="C18" i="2" s="1"/>
  <c r="H20" i="1" l="1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Q14" i="2" l="1"/>
  <c r="W9" i="2"/>
  <c r="S9" i="2" s="1"/>
  <c r="S15" i="2" s="1"/>
</calcChain>
</file>

<file path=xl/sharedStrings.xml><?xml version="1.0" encoding="utf-8"?>
<sst xmlns="http://schemas.openxmlformats.org/spreadsheetml/2006/main" count="219" uniqueCount="151">
  <si>
    <t>Position</t>
  </si>
  <si>
    <t>Name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</si>
  <si>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</si>
  <si>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</si>
  <si>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</si>
  <si>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</si>
  <si>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</si>
  <si>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</si>
  <si>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</si>
  <si>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</si>
  <si>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</si>
  <si>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</si>
  <si>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</si>
  <si>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</si>
  <si>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</si>
  <si>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</si>
  <si>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</si>
  <si>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</si>
  <si>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</si>
  <si>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</si>
  <si>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</si>
  <si>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</si>
  <si>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</si>
  <si>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</si>
  <si>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</si>
  <si>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</si>
  <si>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</si>
  <si>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</si>
  <si>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</si>
  <si>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</si>
  <si>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</si>
  <si>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</si>
  <si>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</si>
  <si>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</si>
  <si>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</si>
  <si>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</si>
  <si>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</si>
  <si>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</si>
  <si>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</si>
  <si>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</si>
  <si>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</si>
  <si>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</si>
  <si>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</si>
  <si>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</si>
  <si>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</si>
  <si>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</si>
  <si>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</si>
  <si>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</si>
  <si>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</si>
  <si>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</si>
  <si>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</si>
  <si>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</si>
  <si>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</si>
  <si>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</si>
  <si>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</si>
  <si>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</si>
  <si>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</si>
  <si>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</si>
  <si>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</si>
  <si>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</si>
  <si>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</si>
  <si>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</si>
  <si>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</si>
  <si>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</si>
  <si>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</si>
  <si>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</si>
  <si>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</si>
  <si>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</si>
  <si>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</si>
  <si>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</si>
  <si>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</si>
  <si>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</si>
  <si>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>Company Fees</t>
  </si>
  <si>
    <t>Per Day Rate + Business Fees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</si>
  <si>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</si>
  <si>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</si>
  <si>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</si>
  <si>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</si>
  <si>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</si>
  <si>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</si>
  <si>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</si>
  <si>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15% Savings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</si>
  <si>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</si>
  <si>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</si>
  <si>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</si>
  <si>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</si>
  <si>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</si>
  <si>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</si>
  <si>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</si>
  <si>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Per/Hr</t>
  </si>
  <si>
    <t>Total Fees</t>
  </si>
  <si>
    <t>Discount overall</t>
  </si>
  <si>
    <t>Hannes</t>
  </si>
  <si>
    <t>Tech</t>
  </si>
  <si>
    <t>Johan Hugo</t>
  </si>
  <si>
    <t>basic tech drawings only</t>
  </si>
  <si>
    <t>Snr. Tech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</si>
  <si>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</si>
  <si>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</si>
  <si>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</si>
  <si>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</si>
  <si>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</si>
  <si>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</si>
  <si>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</si>
  <si>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Months:</t>
  </si>
  <si>
    <t>Visit a month:</t>
  </si>
  <si>
    <t>Total Monthly Fees:</t>
  </si>
  <si>
    <t>Total Site visits: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</si>
  <si>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</si>
  <si>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</si>
  <si>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</si>
  <si>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</si>
  <si>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</si>
  <si>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</si>
  <si>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</si>
  <si>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</si>
  <si>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</si>
  <si>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</si>
  <si>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>Monthly Fees</t>
  </si>
  <si>
    <t>Total Drawing Fees:</t>
  </si>
  <si>
    <t xml:space="preserve"> </t>
  </si>
  <si>
    <t>Daily Rate (hrs a day):</t>
  </si>
  <si>
    <t>Site visits</t>
  </si>
  <si>
    <t>Tender drawings</t>
  </si>
  <si>
    <t>50% of Tender drawings</t>
  </si>
  <si>
    <t>Total (excl. Tender)</t>
  </si>
  <si>
    <t>70% of Fees (excl. Tender)</t>
  </si>
  <si>
    <t>30% of Fees (excl. Tender)</t>
  </si>
  <si>
    <t xml:space="preserve"> Payment 1</t>
  </si>
  <si>
    <t>Payment 2</t>
  </si>
  <si>
    <t>Payment 3</t>
  </si>
  <si>
    <t>Payment Plan:</t>
  </si>
  <si>
    <t>Remainder of total fees</t>
  </si>
  <si>
    <t>Payment 1 + 2</t>
  </si>
  <si>
    <t>Kitchen</t>
  </si>
  <si>
    <t>Entertainment Area</t>
  </si>
  <si>
    <t>General Bathroom + Ensuite</t>
  </si>
  <si>
    <t>En-suite Desser</t>
  </si>
  <si>
    <t>General house alterations (everything except 2 bedrooms)</t>
  </si>
  <si>
    <t>Spaces:</t>
  </si>
  <si>
    <t>Estimated Project Cost</t>
  </si>
  <si>
    <t>Travel</t>
  </si>
  <si>
    <t xml:space="preserve">m² / Km </t>
  </si>
  <si>
    <t>New area</t>
  </si>
  <si>
    <t>Internal Alterations</t>
  </si>
  <si>
    <t>Admin</t>
  </si>
  <si>
    <t>New building</t>
  </si>
  <si>
    <t>Alterations</t>
  </si>
  <si>
    <t>Altering drawings</t>
  </si>
  <si>
    <t>Resubmission</t>
  </si>
  <si>
    <t>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</si>
</sst>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  <numFmt numFmtId="169" formatCode="General\ &quot;Visits&quot;"/>
    <numFmt numFmtId="170" formatCode="General&quot; Months&quot;"/>
    <numFmt numFmtId="171" formatCode="General&quot; Days&quot;"/>
    <numFmt numFmtId="172" formatCode="General&quot; km&quot;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29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6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7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7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164" fontId="0" fillId="0" borderId="0" xfId="0" applyNumberFormat="1"/>
    <xf numFmtId="10" fontId="4" fillId="0" borderId="0" xfId="3" applyNumberFormat="1" applyFont="1"/>
    <xf numFmtId="0" fontId="0" fillId="0" borderId="0" xfId="0" applyAlignment="1">
      <alignment horizont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/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164" fontId="8" fillId="4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4" fillId="0" borderId="51" xfId="0" applyNumberFormat="1" applyFont="1" applyBorder="1"/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44" fontId="0" fillId="0" borderId="0" xfId="0" applyNumberFormat="1"/>
    <xf numFmtId="164" fontId="14" fillId="0" borderId="0" xfId="0" applyNumberFormat="1" applyFont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2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top"/>
    </xf>
    <xf numFmtId="0" fontId="4" fillId="4" borderId="0" xfId="0" applyFont="1" applyFill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vertical="center"/>
    </xf>
    <xf numFmtId="164" fontId="3" fillId="0" borderId="4" xfId="0" applyNumberFormat="1" applyFont="1" applyBorder="1"/>
    <xf numFmtId="0" fontId="5" fillId="0" borderId="51" xfId="0" applyFont="1" applyBorder="1" applyAlignment="1">
      <alignment vertical="center"/>
    </xf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0" fontId="0" fillId="0" borderId="48" xfId="0" applyBorder="1"/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9" fontId="0" fillId="0" borderId="0" xfId="0" applyNumberFormat="1"/>
    <xf numFmtId="0" fontId="4" fillId="0" borderId="53" xfId="0" applyFont="1" applyBorder="1"/>
    <xf numFmtId="44" fontId="4" fillId="0" borderId="24" xfId="0" applyNumberFormat="1" applyFont="1" applyBorder="1"/>
    <xf numFmtId="164" fontId="4" fillId="0" borderId="53" xfId="0" applyNumberFormat="1" applyFont="1" applyBorder="1"/>
    <xf numFmtId="0" fontId="4" fillId="0" borderId="24" xfId="0" applyFont="1" applyBorder="1" applyAlignment="1">
      <alignment horizontal="center"/>
    </xf>
    <xf numFmtId="44" fontId="4" fillId="0" borderId="0" xfId="0" applyNumberFormat="1" applyFont="1"/>
    <xf numFmtId="0" fontId="4" fillId="0" borderId="52" xfId="0" applyFont="1" applyBorder="1"/>
    <xf numFmtId="169" fontId="4" fillId="0" borderId="24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70" fontId="4" fillId="0" borderId="53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6" borderId="11" xfId="0" applyFont="1" applyFill="1" applyBorder="1" applyAlignment="1">
      <alignment horizontal="left" vertical="center"/>
    </xf>
    <xf numFmtId="171" fontId="4" fillId="0" borderId="53" xfId="0" applyNumberFormat="1" applyFont="1" applyBorder="1" applyAlignment="1">
      <alignment horizontal="center"/>
    </xf>
    <xf numFmtId="8" fontId="0" fillId="0" borderId="0" xfId="0" applyNumberFormat="1"/>
    <xf numFmtId="172" fontId="4" fillId="0" borderId="0" xfId="0" applyNumberFormat="1" applyFont="1" applyAlignment="1">
      <alignment horizontal="center"/>
    </xf>
    <xf numFmtId="44" fontId="4" fillId="0" borderId="44" xfId="0" applyNumberFormat="1" applyFont="1" applyBorder="1" applyAlignment="1">
      <alignment horizontal="left" vertical="top"/>
    </xf>
    <xf numFmtId="44" fontId="4" fillId="0" borderId="46" xfId="0" applyNumberFormat="1" applyFont="1" applyBorder="1"/>
    <xf numFmtId="44" fontId="4" fillId="0" borderId="49" xfId="0" applyNumberFormat="1" applyFont="1" applyBorder="1"/>
    <xf numFmtId="44" fontId="8" fillId="0" borderId="24" xfId="0" applyNumberFormat="1" applyFont="1" applyBorder="1"/>
    <xf numFmtId="44" fontId="4" fillId="0" borderId="48" xfId="0" applyNumberFormat="1" applyFont="1" applyBorder="1"/>
    <xf numFmtId="8" fontId="4" fillId="0" borderId="49" xfId="0" applyNumberFormat="1" applyFont="1" applyBorder="1"/>
    <xf numFmtId="44" fontId="4" fillId="0" borderId="48" xfId="0" applyNumberFormat="1" applyFont="1" applyBorder="1" applyAlignment="1">
      <alignment horizontal="left" vertical="top"/>
    </xf>
    <xf numFmtId="44" fontId="8" fillId="0" borderId="49" xfId="0" applyNumberFormat="1" applyFont="1" applyBorder="1"/>
    <xf numFmtId="44" fontId="4" fillId="0" borderId="52" xfId="0" applyNumberFormat="1" applyFont="1" applyBorder="1" applyAlignment="1">
      <alignment horizontal="left" vertical="top"/>
    </xf>
    <xf numFmtId="164" fontId="4" fillId="0" borderId="0" xfId="0" applyNumberFormat="1" applyFont="1" applyAlignment="1">
      <alignment horizontal="left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5" fillId="6" borderId="11" xfId="0" applyFont="1" applyFill="1" applyBorder="1" applyAlignment="1">
      <alignment horizontal="left"/>
    </xf>
    <xf numFmtId="44" fontId="8" fillId="6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2" fontId="4" fillId="0" borderId="0" xfId="0" applyNumberFormat="1" applyFont="1"/>
    <xf numFmtId="0" fontId="4" fillId="6" borderId="2" xfId="0" applyFont="1" applyFill="1" applyBorder="1"/>
    <xf numFmtId="2" fontId="4" fillId="6" borderId="2" xfId="0" applyNumberFormat="1" applyFont="1" applyFill="1" applyBorder="1"/>
    <xf numFmtId="0" fontId="4" fillId="6" borderId="2" xfId="0" applyFont="1" applyFill="1" applyBorder="1" applyAlignment="1">
      <alignment horizontal="left" vertical="center"/>
    </xf>
    <xf numFmtId="0" fontId="0" fillId="9" borderId="13" xfId="0" applyFill="1" applyBorder="1"/>
    <xf numFmtId="2" fontId="4" fillId="0" borderId="0" xfId="0" applyNumberFormat="1" applyFont="1" applyAlignment="1">
      <alignment horizontal="center"/>
    </xf>
    <xf numFmtId="44" fontId="4" fillId="0" borderId="0" xfId="0" applyNumberFormat="1" applyFont="1" applyAlignment="1">
      <alignment horizontal="left"/>
    </xf>
    <xf numFmtId="44" fontId="8" fillId="0" borderId="2" xfId="0" applyNumberFormat="1" applyFont="1" applyBorder="1" applyAlignment="1">
      <alignment horizontal="center"/>
    </xf>
    <xf numFmtId="164" fontId="22" fillId="8" borderId="0" xfId="0" applyNumberFormat="1" applyFont="1" applyFill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22" fillId="8" borderId="4" xfId="0" applyNumberFormat="1" applyFont="1" applyFill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44" fontId="8" fillId="10" borderId="52" xfId="0" applyNumberFormat="1" applyFont="1" applyFill="1" applyBorder="1" applyAlignment="1">
      <alignment horizontal="center" vertical="top"/>
    </xf>
    <xf numFmtId="44" fontId="8" fillId="10" borderId="24" xfId="0" applyNumberFormat="1" applyFont="1" applyFill="1" applyBorder="1" applyAlignment="1">
      <alignment horizontal="center" vertical="top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164" fontId="4" fillId="0" borderId="52" xfId="0" applyNumberFormat="1" applyFont="1" applyBorder="1" applyAlignment="1">
      <alignment horizontal="center"/>
    </xf>
    <xf numFmtId="164" fontId="4" fillId="0" borderId="53" xfId="0" applyNumberFormat="1" applyFont="1" applyBorder="1" applyAlignment="1">
      <alignment horizontal="center"/>
    </xf>
    <xf numFmtId="0" fontId="4" fillId="10" borderId="52" xfId="0" applyFont="1" applyFill="1" applyBorder="1" applyAlignment="1">
      <alignment horizontal="center"/>
    </xf>
    <xf numFmtId="0" fontId="4" fillId="10" borderId="24" xfId="0" applyFont="1" applyFill="1" applyBorder="1" applyAlignment="1">
      <alignment horizontal="center"/>
    </xf>
    <xf numFmtId="44" fontId="19" fillId="4" borderId="11" xfId="1" applyNumberFormat="1" applyFont="1" applyFill="1" applyBorder="1" applyAlignment="1">
      <alignment horizontal="center" vertical="center"/>
    </xf>
    <xf numFmtId="44" fontId="19" fillId="4" borderId="12" xfId="1" applyNumberFormat="1" applyFont="1" applyFill="1" applyBorder="1" applyAlignment="1">
      <alignment horizontal="center" vertical="center"/>
    </xf>
    <xf numFmtId="44" fontId="19" fillId="4" borderId="13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0" fillId="0" borderId="0" xfId="0"/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BB778C03-8435-4838-811D-F07F2F95B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L43"/>
  <sheetViews>
    <sheetView topLeftCell="A4" workbookViewId="0">
      <selection activeCell="G21" sqref="G21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21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9.140625" style="1"/>
    <col min="11" max="11" width="17.140625" style="1" customWidth="1"/>
    <col min="12" max="12" width="19.28515625" style="1" customWidth="1"/>
    <col min="13" max="13" width="11.140625" style="1" bestFit="1" customWidth="1"/>
    <col min="14" max="14" width="9.140625" style="1"/>
    <col min="15" max="15" width="16.140625" style="1" customWidth="1"/>
    <col min="16" max="17" width="9.140625" style="1"/>
    <col min="18" max="18" width="25.42578125" style="1" customWidth="1"/>
    <col min="19" max="16384" width="9.140625" style="1"/>
  </cols>
  <sheetData>
    <row r="1" spans="1:11" x14ac:dyDescent="0.3">
      <c r="A1" s="193"/>
      <c r="B1" s="193"/>
      <c r="C1" s="193"/>
      <c r="D1" s="193"/>
      <c r="E1" s="193"/>
      <c r="F1" s="193"/>
      <c r="G1" s="193"/>
    </row>
    <row r="2" spans="1:11" x14ac:dyDescent="0.3">
      <c r="A2" s="193"/>
      <c r="B2" s="193"/>
      <c r="C2" s="193"/>
      <c r="D2" s="193"/>
      <c r="E2" s="193"/>
      <c r="F2" s="193"/>
      <c r="G2" s="193"/>
    </row>
    <row r="3" spans="1:11" x14ac:dyDescent="0.3">
      <c r="A3" s="193"/>
      <c r="B3" s="193"/>
      <c r="C3" s="193"/>
      <c r="D3" s="193"/>
      <c r="E3" s="193"/>
      <c r="F3" s="193"/>
      <c r="G3" s="193"/>
    </row>
    <row r="4" spans="1:11" x14ac:dyDescent="0.3">
      <c r="A4" s="193"/>
      <c r="B4" s="193"/>
      <c r="C4" s="193"/>
      <c r="D4" s="193"/>
      <c r="E4" s="193"/>
      <c r="F4" s="193"/>
      <c r="G4" s="193"/>
    </row>
    <row r="5" spans="1:11" x14ac:dyDescent="0.3">
      <c r="A5" s="193"/>
      <c r="B5" s="193"/>
      <c r="C5" s="193"/>
      <c r="D5" s="193"/>
      <c r="E5" s="193"/>
      <c r="F5" s="193"/>
      <c r="G5" s="193"/>
    </row>
    <row r="6" spans="1:11" x14ac:dyDescent="0.3">
      <c r="A6" s="193"/>
      <c r="B6" s="193"/>
      <c r="C6" s="193"/>
      <c r="D6" s="193"/>
      <c r="E6" s="193"/>
      <c r="F6" s="193"/>
      <c r="G6" s="193"/>
    </row>
    <row r="7" spans="1:11" x14ac:dyDescent="0.3">
      <c r="A7" s="193"/>
      <c r="B7" s="193"/>
      <c r="C7" s="193"/>
      <c r="D7" s="193"/>
      <c r="E7" s="193"/>
      <c r="F7" s="193"/>
      <c r="G7" s="193"/>
    </row>
    <row r="8" spans="1:11" x14ac:dyDescent="0.3">
      <c r="A8" s="193"/>
      <c r="B8" s="193"/>
      <c r="C8" s="193"/>
      <c r="D8" s="193"/>
      <c r="E8" s="193"/>
      <c r="F8" s="193"/>
      <c r="G8" s="193"/>
    </row>
    <row r="9" spans="1:11" x14ac:dyDescent="0.3">
      <c r="A9" s="193"/>
      <c r="B9" s="193"/>
      <c r="C9" s="193"/>
      <c r="D9" s="193"/>
      <c r="E9" s="193"/>
      <c r="F9" s="193"/>
      <c r="G9" s="193"/>
    </row>
    <row r="10" spans="1:11" x14ac:dyDescent="0.3">
      <c r="A10" s="193"/>
      <c r="B10" s="193"/>
      <c r="C10" s="193"/>
      <c r="D10" s="193"/>
      <c r="E10" s="193"/>
      <c r="F10" s="193"/>
      <c r="G10" s="193"/>
    </row>
    <row r="11" spans="1:11" ht="21" thickBot="1" x14ac:dyDescent="0.35">
      <c r="A11" s="250" t="s">
        <v>7</v>
      </c>
      <c r="B11" s="251"/>
      <c r="C11" s="251"/>
      <c r="D11" s="251"/>
      <c r="E11" s="251"/>
      <c r="F11" s="251"/>
      <c r="G11" s="251"/>
      <c r="I11" s="192"/>
    </row>
    <row r="12" spans="1:11" ht="18.75" customHeight="1" thickBot="1" x14ac:dyDescent="0.35">
      <c r="A12" s="97" t="s">
        <v>88</v>
      </c>
      <c r="B12" s="119" t="s">
        <v>1</v>
      </c>
      <c r="C12" s="96" t="s">
        <v>0</v>
      </c>
      <c r="D12" s="122" t="s">
        <v>101</v>
      </c>
      <c r="E12" s="254" t="s">
        <v>11</v>
      </c>
      <c r="F12" s="254"/>
      <c r="G12" s="198" t="s">
        <v>4</v>
      </c>
    </row>
    <row r="13" spans="1:11" x14ac:dyDescent="0.3">
      <c r="A13" s="154">
        <v>1</v>
      </c>
      <c r="B13" s="194" t="s">
        <v>5</v>
      </c>
      <c r="C13" s="109" t="s">
        <v>2</v>
      </c>
      <c r="D13" s="117">
        <v>40870</v>
      </c>
      <c r="E13" s="189">
        <v>0.15</v>
      </c>
      <c r="F13" s="117">
        <f>D13*E13</f>
        <v>6130.5</v>
      </c>
      <c r="G13" s="197">
        <f>D13+F13</f>
        <v>47000.5</v>
      </c>
      <c r="H13" s="109"/>
      <c r="I13" s="117"/>
    </row>
    <row r="14" spans="1:11" x14ac:dyDescent="0.3">
      <c r="A14" s="154">
        <v>2</v>
      </c>
      <c r="B14" s="191" t="s">
        <v>6</v>
      </c>
      <c r="C14" s="109" t="s">
        <v>2</v>
      </c>
      <c r="D14" s="195">
        <v>38000</v>
      </c>
      <c r="E14" s="189">
        <v>0.15</v>
      </c>
      <c r="F14" s="117">
        <f>D14*E14</f>
        <v>5700</v>
      </c>
      <c r="G14" s="117">
        <f>D14+F14</f>
        <v>43700</v>
      </c>
      <c r="H14" s="109"/>
      <c r="I14" s="109"/>
    </row>
    <row r="15" spans="1:11" x14ac:dyDescent="0.3">
      <c r="A15" s="154">
        <v>3</v>
      </c>
      <c r="B15" s="109" t="s">
        <v>94</v>
      </c>
      <c r="C15" s="109" t="s">
        <v>93</v>
      </c>
      <c r="D15" s="195">
        <v>24000</v>
      </c>
      <c r="E15" s="189">
        <v>0.15</v>
      </c>
      <c r="F15" s="117">
        <f>D15*E15</f>
        <v>3600</v>
      </c>
      <c r="G15" s="117">
        <f>D15+F15</f>
        <v>27600</v>
      </c>
      <c r="H15" s="109" t="s">
        <v>95</v>
      </c>
      <c r="I15" s="109"/>
    </row>
    <row r="16" spans="1:11" x14ac:dyDescent="0.3">
      <c r="A16" s="4"/>
      <c r="K16"/>
    </row>
    <row r="17" spans="1:12" ht="21" thickBot="1" x14ac:dyDescent="0.35">
      <c r="A17" s="252" t="s">
        <v>8</v>
      </c>
      <c r="B17" s="252"/>
      <c r="C17" s="252"/>
      <c r="D17" s="252"/>
      <c r="E17" s="252"/>
      <c r="F17" s="252"/>
      <c r="G17" s="252"/>
      <c r="K17"/>
    </row>
    <row r="18" spans="1:12" ht="18" thickBot="1" x14ac:dyDescent="0.35">
      <c r="A18" s="90" t="s">
        <v>88</v>
      </c>
      <c r="B18" s="120" t="s">
        <v>9</v>
      </c>
      <c r="C18" s="98" t="s">
        <v>12</v>
      </c>
      <c r="D18" s="120" t="s">
        <v>10</v>
      </c>
      <c r="E18" s="98" t="s">
        <v>89</v>
      </c>
      <c r="F18" s="99" t="s">
        <v>72</v>
      </c>
      <c r="G18" s="121" t="s">
        <v>13</v>
      </c>
      <c r="H18" s="116" t="s">
        <v>73</v>
      </c>
      <c r="I18" s="114"/>
      <c r="J18" s="115"/>
      <c r="K18"/>
    </row>
    <row r="19" spans="1:12" x14ac:dyDescent="0.3">
      <c r="A19" s="154">
        <v>1</v>
      </c>
      <c r="B19" s="191">
        <v>21</v>
      </c>
      <c r="C19" s="195">
        <f>G13/B19</f>
        <v>2238.1190476190477</v>
      </c>
      <c r="D19" s="191">
        <v>8</v>
      </c>
      <c r="E19" s="190">
        <f>C19/D19</f>
        <v>279.76488095238096</v>
      </c>
      <c r="F19" s="191">
        <v>2.4</v>
      </c>
      <c r="G19" s="196">
        <f>ROUNDUP(E19*F19,-0.5)</f>
        <v>672</v>
      </c>
      <c r="H19" s="253">
        <f>G19*D19</f>
        <v>5376</v>
      </c>
      <c r="I19" s="253"/>
      <c r="J19" s="253"/>
      <c r="K19" s="109" t="s">
        <v>92</v>
      </c>
      <c r="L19" s="109" t="s">
        <v>2</v>
      </c>
    </row>
    <row r="20" spans="1:12" x14ac:dyDescent="0.3">
      <c r="A20" s="154">
        <v>2</v>
      </c>
      <c r="B20" s="191">
        <v>21</v>
      </c>
      <c r="C20" s="195">
        <f>G14/B20</f>
        <v>2080.9523809523807</v>
      </c>
      <c r="D20" s="191">
        <v>8</v>
      </c>
      <c r="E20" s="190">
        <f>C20/D20</f>
        <v>260.11904761904759</v>
      </c>
      <c r="F20" s="191">
        <v>2.4</v>
      </c>
      <c r="G20" s="196">
        <v>672</v>
      </c>
      <c r="H20" s="249">
        <f>G20*D20</f>
        <v>5376</v>
      </c>
      <c r="I20" s="249"/>
      <c r="J20" s="249"/>
      <c r="K20" s="109" t="s">
        <v>76</v>
      </c>
      <c r="L20" s="109" t="s">
        <v>2</v>
      </c>
    </row>
    <row r="21" spans="1:12" x14ac:dyDescent="0.3">
      <c r="A21" s="154">
        <v>3</v>
      </c>
      <c r="B21" s="109">
        <v>21</v>
      </c>
      <c r="C21" s="117">
        <f>G15/B21</f>
        <v>1314.2857142857142</v>
      </c>
      <c r="D21" s="191">
        <v>8</v>
      </c>
      <c r="E21" s="190">
        <f>C21/D21</f>
        <v>164.28571428571428</v>
      </c>
      <c r="F21" s="109">
        <v>2.4</v>
      </c>
      <c r="G21" s="196">
        <f>ROUNDUP(E21*F21,-0.5)</f>
        <v>395</v>
      </c>
      <c r="H21" s="249">
        <f>G21*D21</f>
        <v>3160</v>
      </c>
      <c r="I21" s="249"/>
      <c r="J21" s="249"/>
      <c r="K21" s="109" t="str">
        <f>B15</f>
        <v>Johan Hugo</v>
      </c>
      <c r="L21" s="109" t="s">
        <v>96</v>
      </c>
    </row>
    <row r="22" spans="1:12" x14ac:dyDescent="0.3">
      <c r="A22" s="4"/>
      <c r="K22"/>
    </row>
    <row r="23" spans="1:12" x14ac:dyDescent="0.3">
      <c r="A23" s="4"/>
      <c r="B23"/>
      <c r="C23"/>
      <c r="D23"/>
      <c r="E23"/>
      <c r="F23"/>
      <c r="G23"/>
      <c r="H23"/>
      <c r="I23"/>
      <c r="K23"/>
    </row>
    <row r="24" spans="1:12" x14ac:dyDescent="0.3">
      <c r="A24" s="4"/>
      <c r="B24"/>
      <c r="C24"/>
      <c r="D24"/>
      <c r="E24"/>
      <c r="F24"/>
      <c r="G24"/>
      <c r="H24"/>
      <c r="I24"/>
    </row>
    <row r="25" spans="1:12" x14ac:dyDescent="0.3">
      <c r="A25" s="4"/>
      <c r="B25"/>
      <c r="C25"/>
      <c r="D25"/>
      <c r="E25"/>
      <c r="F25"/>
      <c r="G25"/>
      <c r="H25"/>
      <c r="I25"/>
    </row>
    <row r="26" spans="1:12" x14ac:dyDescent="0.3">
      <c r="A26" s="4"/>
      <c r="B26"/>
      <c r="C26"/>
      <c r="D26"/>
      <c r="E26"/>
      <c r="F26"/>
      <c r="G26"/>
      <c r="H26"/>
      <c r="I26"/>
    </row>
    <row r="27" spans="1:12" x14ac:dyDescent="0.3">
      <c r="A27" s="4"/>
      <c r="B27"/>
      <c r="C27"/>
      <c r="D27"/>
      <c r="E27"/>
      <c r="F27"/>
      <c r="G27"/>
      <c r="H27"/>
      <c r="I27"/>
    </row>
    <row r="28" spans="1:12" x14ac:dyDescent="0.3">
      <c r="A28" s="4"/>
      <c r="B28"/>
      <c r="C28"/>
      <c r="D28"/>
      <c r="E28"/>
      <c r="F28"/>
      <c r="G28"/>
      <c r="H28"/>
      <c r="I28"/>
    </row>
    <row r="29" spans="1:12" x14ac:dyDescent="0.3">
      <c r="A29" s="4"/>
      <c r="B29"/>
      <c r="C29"/>
      <c r="D29"/>
      <c r="E29"/>
      <c r="F29"/>
      <c r="G29"/>
      <c r="H29"/>
      <c r="I29"/>
    </row>
    <row r="30" spans="1:12" x14ac:dyDescent="0.3">
      <c r="A30" s="4"/>
      <c r="B30"/>
      <c r="C30"/>
      <c r="D30"/>
      <c r="E30"/>
      <c r="F30"/>
      <c r="G30"/>
      <c r="H30"/>
      <c r="I30"/>
    </row>
    <row r="31" spans="1:12" x14ac:dyDescent="0.3">
      <c r="A31" s="4"/>
      <c r="B31"/>
      <c r="C31"/>
      <c r="D31"/>
      <c r="E31"/>
      <c r="F31"/>
      <c r="G31"/>
      <c r="H31"/>
      <c r="I31"/>
    </row>
    <row r="32" spans="1:12" x14ac:dyDescent="0.3">
      <c r="B32"/>
      <c r="C32"/>
      <c r="D32"/>
      <c r="E32"/>
      <c r="F32"/>
      <c r="G32"/>
      <c r="H32"/>
      <c r="I32"/>
    </row>
    <row r="33" spans="2:9" x14ac:dyDescent="0.3">
      <c r="B33"/>
      <c r="C33"/>
      <c r="D33"/>
      <c r="E33"/>
      <c r="F33"/>
      <c r="G33"/>
      <c r="H33"/>
      <c r="I33"/>
    </row>
    <row r="34" spans="2:9" x14ac:dyDescent="0.3">
      <c r="B34"/>
      <c r="C34"/>
      <c r="D34"/>
      <c r="E34"/>
      <c r="F34"/>
      <c r="G34"/>
      <c r="H34"/>
      <c r="I34"/>
    </row>
    <row r="35" spans="2:9" x14ac:dyDescent="0.3">
      <c r="B35"/>
      <c r="C35"/>
      <c r="D35"/>
      <c r="E35"/>
      <c r="F35"/>
      <c r="G35"/>
      <c r="H35"/>
      <c r="I35"/>
    </row>
    <row r="36" spans="2:9" x14ac:dyDescent="0.3">
      <c r="B36"/>
      <c r="C36"/>
      <c r="D36"/>
      <c r="E36"/>
      <c r="F36"/>
      <c r="G36"/>
      <c r="H36"/>
      <c r="I36"/>
    </row>
    <row r="37" spans="2:9" x14ac:dyDescent="0.3">
      <c r="B37"/>
      <c r="C37"/>
      <c r="D37"/>
      <c r="E37"/>
      <c r="F37"/>
      <c r="G37"/>
      <c r="H37"/>
      <c r="I37"/>
    </row>
    <row r="38" spans="2:9" x14ac:dyDescent="0.3">
      <c r="B38"/>
      <c r="C38"/>
      <c r="D38"/>
      <c r="E38"/>
      <c r="F38"/>
      <c r="G38"/>
      <c r="H38"/>
      <c r="I38"/>
    </row>
    <row r="39" spans="2:9" x14ac:dyDescent="0.3">
      <c r="B39"/>
      <c r="C39"/>
      <c r="D39"/>
      <c r="E39"/>
      <c r="F39"/>
      <c r="G39"/>
      <c r="H39"/>
      <c r="I39"/>
    </row>
    <row r="40" spans="2:9" x14ac:dyDescent="0.3">
      <c r="B40"/>
      <c r="C40"/>
      <c r="D40"/>
      <c r="E40"/>
      <c r="F40"/>
      <c r="G40"/>
      <c r="H40"/>
      <c r="I40"/>
    </row>
    <row r="41" spans="2:9" x14ac:dyDescent="0.3">
      <c r="B41"/>
      <c r="C41"/>
      <c r="D41"/>
      <c r="E41"/>
      <c r="F41"/>
      <c r="G41"/>
      <c r="H41"/>
      <c r="I41"/>
    </row>
    <row r="42" spans="2:9" x14ac:dyDescent="0.3">
      <c r="B42"/>
      <c r="C42"/>
      <c r="D42"/>
      <c r="E42"/>
      <c r="F42"/>
      <c r="G42"/>
      <c r="H42"/>
      <c r="I42"/>
    </row>
    <row r="43" spans="2:9" x14ac:dyDescent="0.3">
      <c r="B43"/>
      <c r="C43"/>
      <c r="D43"/>
      <c r="E43"/>
      <c r="F43"/>
      <c r="G43"/>
      <c r="H43"/>
      <c r="I43"/>
    </row>
  </sheetData>
  <mergeCells count="6">
    <mergeCell ref="H21:J21"/>
    <mergeCell ref="A11:G11"/>
    <mergeCell ref="A17:G17"/>
    <mergeCell ref="H19:J19"/>
    <mergeCell ref="E12:F12"/>
    <mergeCell ref="H20:J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6968-433F-4465-8709-15CE964315B7}">
  <dimension ref="A1:L115"/>
  <sheetViews>
    <sheetView tabSelected="1" zoomScaleNormal="100" workbookViewId="0">
      <selection activeCell="A18" sqref="A18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30" customWidth="1"/>
    <col min="11" max="11" width="68.28515625" bestFit="1" customWidth="1"/>
    <col min="12" max="12" width="16.42578125" customWidth="1"/>
  </cols>
  <sheetData>
    <row r="1" spans="1:11" ht="17.25" x14ac:dyDescent="0.3">
      <c r="A1" s="193"/>
      <c r="B1" s="193"/>
      <c r="C1" s="193"/>
      <c r="D1" s="193"/>
      <c r="E1" s="193"/>
      <c r="F1" s="193"/>
      <c r="G1" s="193"/>
      <c r="H1" s="193"/>
      <c r="I1" s="1"/>
      <c r="K1" s="1"/>
    </row>
    <row r="2" spans="1:11" ht="17.25" x14ac:dyDescent="0.3">
      <c r="A2" s="193"/>
      <c r="B2" s="193"/>
      <c r="C2" s="193"/>
      <c r="D2" s="193"/>
      <c r="E2" s="193"/>
      <c r="F2" s="193"/>
      <c r="G2" s="193"/>
      <c r="H2" s="193"/>
      <c r="I2" s="2"/>
    </row>
    <row r="3" spans="1:11" ht="17.25" x14ac:dyDescent="0.3">
      <c r="A3" s="193"/>
      <c r="B3" s="193"/>
      <c r="C3" s="193"/>
      <c r="D3" s="193"/>
      <c r="E3" s="193"/>
      <c r="F3" s="193"/>
      <c r="G3" s="193"/>
      <c r="H3" s="193"/>
      <c r="I3" s="2"/>
    </row>
    <row r="4" spans="1:11" ht="17.25" x14ac:dyDescent="0.3">
      <c r="A4" s="193"/>
      <c r="B4" s="193"/>
      <c r="C4" s="193"/>
      <c r="D4" s="193"/>
      <c r="E4" s="193"/>
      <c r="F4" s="193"/>
      <c r="G4" s="193"/>
      <c r="H4" s="193"/>
      <c r="I4" s="2"/>
    </row>
    <row r="5" spans="1:11" ht="17.25" x14ac:dyDescent="0.3">
      <c r="A5" s="193"/>
      <c r="B5" s="193"/>
      <c r="C5" s="193"/>
      <c r="D5" s="193"/>
      <c r="E5" s="193"/>
      <c r="F5" s="193"/>
      <c r="G5" s="193"/>
      <c r="H5" s="193"/>
      <c r="I5" s="2"/>
    </row>
    <row r="6" spans="1:11" ht="17.25" x14ac:dyDescent="0.3">
      <c r="A6" s="193"/>
      <c r="B6" s="193"/>
      <c r="C6" s="193"/>
      <c r="D6" s="193"/>
      <c r="E6" s="193"/>
      <c r="F6" s="193"/>
      <c r="G6" s="193"/>
      <c r="H6" s="193"/>
      <c r="I6" s="1"/>
      <c r="J6" s="93"/>
    </row>
    <row r="7" spans="1:11" ht="17.25" x14ac:dyDescent="0.3">
      <c r="A7" s="193"/>
      <c r="B7" s="193"/>
      <c r="C7" s="193"/>
      <c r="D7" s="193"/>
      <c r="E7" s="193"/>
      <c r="F7" s="193"/>
      <c r="G7" s="193"/>
      <c r="H7" s="193"/>
      <c r="I7" s="2"/>
    </row>
    <row r="8" spans="1:11" ht="17.25" x14ac:dyDescent="0.3">
      <c r="A8" s="193"/>
      <c r="B8" s="193"/>
      <c r="C8" s="193"/>
      <c r="D8" s="193"/>
      <c r="E8" s="193"/>
      <c r="F8" s="193"/>
      <c r="G8" s="193"/>
      <c r="H8" s="193"/>
      <c r="I8" s="2"/>
    </row>
    <row r="9" spans="1:11" ht="17.25" x14ac:dyDescent="0.3">
      <c r="A9" s="193"/>
      <c r="B9" s="193"/>
      <c r="C9" s="193"/>
      <c r="D9" s="193"/>
      <c r="E9" s="193"/>
      <c r="F9" s="193"/>
      <c r="G9" s="193"/>
      <c r="H9" s="193"/>
      <c r="I9" s="1"/>
    </row>
    <row r="10" spans="1:11" ht="18" thickBot="1" x14ac:dyDescent="0.35">
      <c r="A10" s="193"/>
      <c r="B10" s="193"/>
      <c r="C10" s="193"/>
      <c r="D10" s="193"/>
      <c r="E10" s="193"/>
      <c r="F10" s="193"/>
      <c r="G10" s="193"/>
      <c r="H10" s="193"/>
      <c r="I10" s="2"/>
      <c r="J10" s="155"/>
      <c r="K10" s="155"/>
    </row>
    <row r="11" spans="1:11" ht="21" thickBot="1" x14ac:dyDescent="0.35">
      <c r="A11" s="257" t="s">
        <v>14</v>
      </c>
      <c r="B11" s="258"/>
      <c r="C11" s="258"/>
      <c r="D11" s="258"/>
      <c r="E11" s="258"/>
      <c r="F11" s="258"/>
      <c r="G11" s="258"/>
      <c r="H11" s="259"/>
      <c r="I11" s="1"/>
    </row>
    <row r="12" spans="1:11" ht="18" thickBot="1" x14ac:dyDescent="0.35">
      <c r="A12" s="69"/>
      <c r="B12" s="69"/>
      <c r="C12" s="69"/>
      <c r="D12" s="69"/>
      <c r="E12" s="69"/>
      <c r="F12" s="69"/>
      <c r="G12" s="69"/>
      <c r="H12" s="69"/>
    </row>
    <row r="13" spans="1:11" ht="18.75" x14ac:dyDescent="0.3">
      <c r="A13" s="260" t="s">
        <v>65</v>
      </c>
      <c r="B13" s="261"/>
      <c r="C13" s="262"/>
      <c r="D13" s="1"/>
      <c r="E13" s="4" t="s">
        <v>66</v>
      </c>
      <c r="F13" s="1"/>
      <c r="G13" s="1"/>
      <c r="H13" s="1"/>
      <c r="J13" s="255" t="s">
        <v>131</v>
      </c>
      <c r="K13" s="256"/>
    </row>
    <row r="14" spans="1:11" ht="18" thickBot="1" x14ac:dyDescent="0.35">
      <c r="A14" s="263" t="s">
        <v>61</v>
      </c>
      <c r="B14" s="264"/>
      <c r="C14" s="264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226" t="s">
        <v>90</v>
      </c>
      <c r="K14" s="227">
        <f>IF(H27=0,H46,H27)</f>
        <v>3500</v>
      </c>
    </row>
    <row r="15" spans="1:11" ht="18" thickBot="1" x14ac:dyDescent="0.35">
      <c r="A15" s="265" t="s">
        <v>80</v>
      </c>
      <c r="B15" s="266"/>
      <c r="C15" s="71"/>
      <c r="D15" s="71"/>
      <c r="E15" s="71"/>
      <c r="F15" s="76">
        <f>SUM(F16:F30)</f>
        <v>6</v>
      </c>
      <c r="G15" s="220">
        <f>SUM(G16:G22)</f>
        <v>0.75</v>
      </c>
      <c r="H15" s="173">
        <f>SUM(H16:H22)</f>
        <v>3500</v>
      </c>
      <c r="I15" s="1"/>
      <c r="J15" s="232" t="s">
        <v>123</v>
      </c>
      <c r="K15" s="228">
        <f>SUM(H22:H22)</f>
        <v>0</v>
      </c>
    </row>
    <row r="16" spans="1:11" ht="17.25" x14ac:dyDescent="0.3">
      <c r="A16" s="168"/>
      <c r="B16" s="221"/>
      <c r="C16" s="221"/>
      <c r="D16" s="60"/>
      <c r="E16" s="60"/>
      <c r="F16" s="3"/>
      <c r="G16" s="169">
        <f>F16/8</f>
        <v>0</v>
      </c>
      <c r="H16" s="171">
        <f t="shared" ref="H16:H21" si="0">F16*E16</f>
        <v>0</v>
      </c>
      <c r="I16" s="1"/>
      <c r="J16" s="234" t="s">
        <v>125</v>
      </c>
      <c r="K16" s="211">
        <f>K14-K15</f>
        <v>3500</v>
      </c>
    </row>
    <row r="17" spans="1:11" ht="17.25" x14ac:dyDescent="0.3">
      <c r="A17" s="1" t="s">
        <v>148</v>
      </c>
      <c r="D17" s="60" t="s">
        <v>150</v>
      </c>
      <c r="E17" s="60">
        <v>565.6</v>
      </c>
      <c r="F17" s="3">
        <v>5</v>
      </c>
      <c r="G17" s="169">
        <f>F17/8</f>
        <v>0.625</v>
      </c>
      <c r="H17" s="171">
        <f t="shared" si="0"/>
        <v>2828</v>
      </c>
      <c r="I17" s="1"/>
    </row>
    <row r="18" spans="1:11" ht="17.25" x14ac:dyDescent="0.3">
      <c r="A18" s="1" t="s">
        <v>149</v>
      </c>
      <c r="D18" s="60" t="s">
        <v>2</v>
      </c>
      <c r="E18" s="60">
        <v>672</v>
      </c>
      <c r="F18" s="3">
        <v>1</v>
      </c>
      <c r="G18" s="169">
        <f>F18/8</f>
        <v>0.125</v>
      </c>
      <c r="H18" s="171">
        <f t="shared" si="0"/>
        <v>672</v>
      </c>
      <c r="I18" s="1"/>
      <c r="J18" s="276" t="s">
        <v>128</v>
      </c>
      <c r="K18" s="277"/>
    </row>
    <row r="19" spans="1:11" ht="17.25" x14ac:dyDescent="0.3">
      <c r="A19" s="1"/>
      <c r="B19" s="1"/>
      <c r="C19" s="1"/>
      <c r="D19" s="60"/>
      <c r="E19" s="60"/>
      <c r="F19" s="3"/>
      <c r="G19" s="169"/>
      <c r="H19" s="171"/>
      <c r="I19" s="1"/>
      <c r="J19" s="232" t="s">
        <v>126</v>
      </c>
      <c r="K19" s="233">
        <f>K16*0.7</f>
        <v>2450</v>
      </c>
    </row>
    <row r="20" spans="1:11" ht="17.25" x14ac:dyDescent="0.3">
      <c r="A20" s="1"/>
      <c r="D20" s="60"/>
      <c r="E20" s="60"/>
      <c r="F20" s="3"/>
      <c r="G20" s="169"/>
      <c r="H20" s="171"/>
      <c r="I20" s="1"/>
    </row>
    <row r="21" spans="1:11" ht="17.25" x14ac:dyDescent="0.3">
      <c r="A21" s="1"/>
      <c r="B21" s="1"/>
      <c r="C21" s="1"/>
      <c r="D21" s="60"/>
      <c r="E21" s="60"/>
      <c r="F21" s="3"/>
      <c r="G21" s="169"/>
      <c r="H21" s="171"/>
      <c r="I21" s="1"/>
      <c r="J21" s="276" t="s">
        <v>129</v>
      </c>
      <c r="K21" s="277"/>
    </row>
    <row r="22" spans="1:11" ht="17.25" x14ac:dyDescent="0.3">
      <c r="A22" s="1"/>
      <c r="B22" s="1"/>
      <c r="D22" s="225"/>
      <c r="E22" s="60"/>
      <c r="F22" s="3"/>
      <c r="G22" s="169"/>
      <c r="H22" s="171"/>
      <c r="I22" s="1"/>
      <c r="J22" s="226" t="s">
        <v>127</v>
      </c>
      <c r="K22" s="227">
        <f>K16-K19</f>
        <v>1050</v>
      </c>
    </row>
    <row r="23" spans="1:11" ht="17.25" x14ac:dyDescent="0.3">
      <c r="I23" s="1"/>
      <c r="J23" s="230" t="s">
        <v>124</v>
      </c>
      <c r="K23" s="231">
        <f>K15*0.5</f>
        <v>0</v>
      </c>
    </row>
    <row r="24" spans="1:11" ht="17.25" x14ac:dyDescent="0.3">
      <c r="I24" s="1"/>
      <c r="J24" s="206"/>
      <c r="K24" s="229">
        <f>K22+K23</f>
        <v>1050</v>
      </c>
    </row>
    <row r="25" spans="1:11" ht="18" x14ac:dyDescent="0.3">
      <c r="A25" s="73"/>
      <c r="B25" s="73"/>
      <c r="D25" s="92"/>
      <c r="F25" s="92" t="s">
        <v>79</v>
      </c>
      <c r="G25" s="73"/>
      <c r="H25" s="170">
        <f>H15</f>
        <v>3500</v>
      </c>
      <c r="I25" s="1"/>
    </row>
    <row r="26" spans="1:11" ht="18.75" thickBot="1" x14ac:dyDescent="0.35">
      <c r="A26" s="73"/>
      <c r="B26" s="73"/>
      <c r="C26" s="73"/>
      <c r="F26" s="92" t="s">
        <v>78</v>
      </c>
      <c r="G26" s="74">
        <v>0</v>
      </c>
      <c r="H26" s="170">
        <f>H25*G26</f>
        <v>0</v>
      </c>
      <c r="I26" s="1"/>
      <c r="J26" s="276" t="s">
        <v>130</v>
      </c>
      <c r="K26" s="277"/>
    </row>
    <row r="27" spans="1:11" ht="19.5" thickBot="1" x14ac:dyDescent="0.35">
      <c r="A27" s="1"/>
      <c r="B27" s="1"/>
      <c r="C27" s="1"/>
      <c r="D27" s="1"/>
      <c r="F27" s="136" t="s">
        <v>69</v>
      </c>
      <c r="G27" s="137"/>
      <c r="H27" s="172">
        <f>(H25-H26)</f>
        <v>3500</v>
      </c>
      <c r="I27" s="1"/>
      <c r="J27" s="226" t="s">
        <v>90</v>
      </c>
      <c r="K27" s="227">
        <f>K14</f>
        <v>3500</v>
      </c>
    </row>
    <row r="28" spans="1:11" ht="17.25" x14ac:dyDescent="0.3">
      <c r="A28" s="1"/>
      <c r="B28" s="1"/>
      <c r="C28" s="1"/>
      <c r="D28" s="1"/>
      <c r="E28" s="1"/>
      <c r="F28" s="1"/>
      <c r="G28" s="1"/>
      <c r="H28" s="1"/>
      <c r="I28" s="1"/>
      <c r="J28" s="165" t="s">
        <v>133</v>
      </c>
      <c r="K28" s="228">
        <f>K19+K24</f>
        <v>3500</v>
      </c>
    </row>
    <row r="29" spans="1:11" ht="17.25" x14ac:dyDescent="0.3">
      <c r="A29" s="78"/>
      <c r="B29" s="78"/>
      <c r="C29" s="78"/>
      <c r="D29" s="78"/>
      <c r="E29" s="78"/>
      <c r="F29" s="78"/>
      <c r="G29" s="78"/>
      <c r="H29" s="78"/>
      <c r="I29" s="1"/>
      <c r="J29" s="215" t="s">
        <v>132</v>
      </c>
      <c r="K29" s="229">
        <f>K27-K28</f>
        <v>0</v>
      </c>
    </row>
    <row r="30" spans="1:11" ht="18" thickBot="1" x14ac:dyDescent="0.35">
      <c r="H30" s="155"/>
      <c r="I30" s="1"/>
    </row>
    <row r="31" spans="1:11" ht="19.5" thickBot="1" x14ac:dyDescent="0.35">
      <c r="A31" s="180" t="s">
        <v>71</v>
      </c>
      <c r="B31" s="149"/>
      <c r="C31" s="150"/>
      <c r="D31" s="1"/>
      <c r="E31" s="3"/>
      <c r="F31" s="1"/>
      <c r="G31" s="1"/>
      <c r="H31" s="1"/>
      <c r="I31" s="1"/>
      <c r="J31" s="1"/>
      <c r="K31" s="93"/>
    </row>
    <row r="32" spans="1:11" ht="18" thickBot="1" x14ac:dyDescent="0.35">
      <c r="A32" s="132" t="s">
        <v>61</v>
      </c>
      <c r="B32" s="123"/>
      <c r="C32" s="123"/>
      <c r="D32" s="123"/>
      <c r="E32" s="123"/>
      <c r="F32" s="123"/>
      <c r="G32" s="185"/>
      <c r="H32" s="124"/>
      <c r="J32" s="242" t="s">
        <v>74</v>
      </c>
      <c r="K32" s="243">
        <f>K14/671/8</f>
        <v>0.65201192250372575</v>
      </c>
    </row>
    <row r="33" spans="1:11" ht="18" thickBot="1" x14ac:dyDescent="0.35">
      <c r="I33" s="1"/>
    </row>
    <row r="34" spans="1:11" ht="18" thickBot="1" x14ac:dyDescent="0.35">
      <c r="A34" s="151" t="s">
        <v>80</v>
      </c>
      <c r="B34" s="152"/>
      <c r="C34" s="71"/>
      <c r="D34" s="123" t="s">
        <v>63</v>
      </c>
      <c r="E34" s="123" t="s">
        <v>70</v>
      </c>
      <c r="F34" s="123" t="s">
        <v>142</v>
      </c>
      <c r="G34" s="184"/>
      <c r="H34" s="173">
        <f>SUM(H36:H43)</f>
        <v>51600.004799999995</v>
      </c>
      <c r="I34" s="1"/>
      <c r="J34" s="222" t="s">
        <v>77</v>
      </c>
      <c r="K34" s="244"/>
    </row>
    <row r="35" spans="1:11" ht="18" thickBot="1" x14ac:dyDescent="0.35">
      <c r="A35" s="240"/>
      <c r="B35" s="240"/>
      <c r="C35" s="1"/>
      <c r="D35" s="3"/>
      <c r="E35" s="3"/>
      <c r="F35" s="3"/>
      <c r="G35" s="4"/>
      <c r="H35" s="171"/>
      <c r="I35" s="1"/>
    </row>
    <row r="36" spans="1:11" ht="18" thickBot="1" x14ac:dyDescent="0.35">
      <c r="A36" s="1" t="s">
        <v>143</v>
      </c>
      <c r="E36" s="118">
        <v>200</v>
      </c>
      <c r="F36" s="1">
        <v>80</v>
      </c>
      <c r="H36" s="171">
        <f>F36*E36</f>
        <v>16000</v>
      </c>
      <c r="I36" s="1"/>
      <c r="J36" s="102" t="s">
        <v>90</v>
      </c>
      <c r="K36" s="103" t="s">
        <v>83</v>
      </c>
    </row>
    <row r="37" spans="1:11" ht="17.25" x14ac:dyDescent="0.3">
      <c r="A37" s="1" t="s">
        <v>144</v>
      </c>
      <c r="D37" s="60"/>
      <c r="E37" s="118">
        <v>170</v>
      </c>
      <c r="F37" s="241">
        <v>183.52943999999999</v>
      </c>
      <c r="H37" s="171">
        <f>F37*E37</f>
        <v>31200.004799999999</v>
      </c>
      <c r="J37" s="104">
        <f>H27</f>
        <v>3500</v>
      </c>
      <c r="K37" s="60">
        <f>J37*0.05</f>
        <v>175</v>
      </c>
    </row>
    <row r="38" spans="1:11" ht="18" thickBot="1" x14ac:dyDescent="0.35">
      <c r="A38" s="1" t="s">
        <v>145</v>
      </c>
      <c r="D38" s="60"/>
      <c r="E38" s="118"/>
      <c r="F38" s="1"/>
      <c r="H38" s="171">
        <v>2000</v>
      </c>
    </row>
    <row r="39" spans="1:11" ht="18" thickBot="1" x14ac:dyDescent="0.35">
      <c r="A39" s="1" t="s">
        <v>141</v>
      </c>
      <c r="D39" s="60"/>
      <c r="E39" s="118"/>
      <c r="F39" s="1"/>
      <c r="H39" s="171">
        <v>2400</v>
      </c>
      <c r="J39" s="101" t="s">
        <v>81</v>
      </c>
      <c r="K39" s="245"/>
    </row>
    <row r="40" spans="1:11" ht="15.75" thickBot="1" x14ac:dyDescent="0.3"/>
    <row r="41" spans="1:11" ht="16.5" thickBot="1" x14ac:dyDescent="0.3">
      <c r="J41" s="100" t="s">
        <v>82</v>
      </c>
      <c r="K41" s="245"/>
    </row>
    <row r="42" spans="1:11" ht="17.25" x14ac:dyDescent="0.3">
      <c r="A42" s="1"/>
      <c r="B42" s="1"/>
      <c r="H42" s="171"/>
    </row>
    <row r="44" spans="1:11" ht="18" x14ac:dyDescent="0.25">
      <c r="A44" s="73"/>
      <c r="C44" s="73"/>
      <c r="D44" s="73"/>
      <c r="F44" s="92" t="s">
        <v>99</v>
      </c>
      <c r="G44" s="73"/>
      <c r="H44" s="170">
        <f>H34</f>
        <v>51600.004799999995</v>
      </c>
      <c r="J44" s="155"/>
    </row>
    <row r="45" spans="1:11" ht="18.75" thickBot="1" x14ac:dyDescent="0.3">
      <c r="A45" s="73"/>
      <c r="B45" s="73"/>
      <c r="C45" s="73"/>
      <c r="E45" s="135"/>
      <c r="F45" s="92" t="s">
        <v>78</v>
      </c>
      <c r="G45" s="74">
        <v>0</v>
      </c>
      <c r="H45" s="4"/>
      <c r="J45" s="155"/>
    </row>
    <row r="46" spans="1:11" ht="19.5" thickBot="1" x14ac:dyDescent="0.35">
      <c r="A46" s="1"/>
      <c r="B46" s="1"/>
      <c r="C46" s="1"/>
      <c r="D46" s="1"/>
      <c r="E46" s="1"/>
      <c r="F46" s="1"/>
      <c r="G46" s="75" t="s">
        <v>69</v>
      </c>
      <c r="H46" s="172">
        <f>H44</f>
        <v>51600.004799999995</v>
      </c>
    </row>
    <row r="47" spans="1:11" ht="17.25" x14ac:dyDescent="0.3">
      <c r="A47" s="1"/>
      <c r="B47" s="1"/>
      <c r="C47" s="1"/>
      <c r="D47" s="1"/>
      <c r="E47" s="1"/>
      <c r="F47" s="1"/>
      <c r="G47" s="1"/>
      <c r="H47" s="1"/>
    </row>
    <row r="48" spans="1:11" ht="17.25" x14ac:dyDescent="0.3">
      <c r="A48" s="78"/>
      <c r="B48" s="78"/>
      <c r="C48" s="78"/>
      <c r="D48" s="78"/>
      <c r="E48" s="78"/>
      <c r="F48" s="78"/>
      <c r="G48" s="78"/>
      <c r="H48" s="78"/>
      <c r="J48" s="5"/>
      <c r="K48" s="5"/>
    </row>
    <row r="49" spans="1:12" ht="15.75" thickBot="1" x14ac:dyDescent="0.3"/>
    <row r="50" spans="1:12" ht="19.5" thickBot="1" x14ac:dyDescent="0.35">
      <c r="A50" s="181" t="s">
        <v>67</v>
      </c>
      <c r="B50" s="182"/>
      <c r="C50" s="183"/>
      <c r="D50" s="1"/>
      <c r="E50" s="1"/>
      <c r="F50" s="1"/>
      <c r="G50" s="1"/>
      <c r="H50" s="1"/>
    </row>
    <row r="51" spans="1:12" ht="18" thickBot="1" x14ac:dyDescent="0.35">
      <c r="A51" s="132" t="s">
        <v>15</v>
      </c>
      <c r="B51" s="123"/>
      <c r="C51" s="123"/>
      <c r="D51" s="177"/>
      <c r="E51" s="178"/>
      <c r="F51" s="123" t="s">
        <v>70</v>
      </c>
      <c r="G51" s="178" t="s">
        <v>16</v>
      </c>
      <c r="H51" s="179" t="s">
        <v>87</v>
      </c>
    </row>
    <row r="52" spans="1:12" ht="19.5" thickBot="1" x14ac:dyDescent="0.35">
      <c r="A52" s="14"/>
      <c r="B52" s="14"/>
      <c r="C52" s="14"/>
      <c r="D52" s="14"/>
      <c r="E52" s="153"/>
      <c r="F52" s="153"/>
      <c r="G52" s="126"/>
      <c r="H52" s="153"/>
      <c r="K52" s="238" t="s">
        <v>139</v>
      </c>
      <c r="L52" s="179" t="s">
        <v>87</v>
      </c>
    </row>
    <row r="53" spans="1:12" ht="17.25" x14ac:dyDescent="0.3">
      <c r="A53" s="1" t="s">
        <v>146</v>
      </c>
      <c r="B53" s="61"/>
      <c r="C53" s="4"/>
      <c r="D53" s="1"/>
      <c r="E53" s="60"/>
      <c r="F53" s="247">
        <v>12000</v>
      </c>
      <c r="G53" s="3">
        <f>F36</f>
        <v>80</v>
      </c>
      <c r="H53" s="171">
        <f>G53*F53</f>
        <v>960000</v>
      </c>
      <c r="K53" s="77" t="s">
        <v>134</v>
      </c>
      <c r="L53" s="236">
        <v>250000</v>
      </c>
    </row>
    <row r="54" spans="1:12" ht="17.25" x14ac:dyDescent="0.3">
      <c r="A54" s="1" t="s">
        <v>147</v>
      </c>
      <c r="B54" s="61"/>
      <c r="F54" s="247">
        <v>7000</v>
      </c>
      <c r="G54" s="246">
        <f>F37</f>
        <v>183.52943999999999</v>
      </c>
      <c r="H54" s="171">
        <f>G54*F54</f>
        <v>1284706.0799999998</v>
      </c>
      <c r="K54" s="77" t="s">
        <v>135</v>
      </c>
      <c r="L54" s="236">
        <v>167500</v>
      </c>
    </row>
    <row r="55" spans="1:12" ht="17.25" x14ac:dyDescent="0.3">
      <c r="A55" s="1"/>
      <c r="F55" s="235"/>
      <c r="H55" s="60"/>
      <c r="K55" s="77" t="s">
        <v>136</v>
      </c>
      <c r="L55" s="236">
        <v>250000</v>
      </c>
    </row>
    <row r="56" spans="1:12" ht="17.25" x14ac:dyDescent="0.3">
      <c r="A56" s="1"/>
      <c r="F56" s="235"/>
      <c r="G56" s="3"/>
      <c r="H56" s="60"/>
      <c r="K56" s="77" t="s">
        <v>138</v>
      </c>
      <c r="L56" s="236">
        <v>270000</v>
      </c>
    </row>
    <row r="57" spans="1:12" ht="17.25" x14ac:dyDescent="0.3">
      <c r="A57" s="1"/>
      <c r="F57" s="235"/>
      <c r="H57" s="60"/>
      <c r="K57" s="165" t="s">
        <v>137</v>
      </c>
      <c r="L57" s="237">
        <v>50000</v>
      </c>
    </row>
    <row r="58" spans="1:12" ht="18" thickBot="1" x14ac:dyDescent="0.35">
      <c r="A58" s="1"/>
      <c r="B58" s="1"/>
      <c r="C58" s="1"/>
      <c r="D58" s="1" t="s">
        <v>120</v>
      </c>
      <c r="E58" s="60"/>
      <c r="F58" s="60"/>
      <c r="G58" s="3"/>
      <c r="H58" s="60"/>
      <c r="L58" s="155"/>
    </row>
    <row r="59" spans="1:12" ht="19.5" thickBot="1" x14ac:dyDescent="0.35">
      <c r="A59" s="1"/>
      <c r="B59" s="1"/>
      <c r="C59" s="1"/>
      <c r="D59" s="1"/>
      <c r="E59" s="118"/>
      <c r="F59" s="62" t="s">
        <v>3</v>
      </c>
      <c r="G59" s="63">
        <f>SUM(G52:G55)</f>
        <v>263.52944000000002</v>
      </c>
      <c r="H59" s="248">
        <f>SUM(H52:H58)</f>
        <v>2244706.08</v>
      </c>
      <c r="K59" s="238" t="s">
        <v>140</v>
      </c>
      <c r="L59" s="239">
        <v>987500</v>
      </c>
    </row>
    <row r="60" spans="1:12" ht="15.75" thickBot="1" x14ac:dyDescent="0.3"/>
    <row r="61" spans="1:12" ht="19.5" thickBot="1" x14ac:dyDescent="0.35">
      <c r="A61" s="200" t="s">
        <v>37</v>
      </c>
      <c r="B61" s="186"/>
      <c r="C61" s="186"/>
      <c r="D61" s="186"/>
      <c r="E61" s="278">
        <f>H59</f>
        <v>2244706.08</v>
      </c>
      <c r="F61" s="279"/>
      <c r="G61" s="279"/>
      <c r="H61" s="280"/>
      <c r="I61" s="1"/>
    </row>
    <row r="62" spans="1:12" ht="18.75" x14ac:dyDescent="0.3">
      <c r="A62" s="188" t="s">
        <v>84</v>
      </c>
      <c r="B62" s="187"/>
      <c r="C62" s="187"/>
      <c r="D62" s="187"/>
      <c r="E62" s="267" t="s">
        <v>108</v>
      </c>
      <c r="F62" s="267"/>
      <c r="G62" s="267"/>
      <c r="H62" s="267"/>
    </row>
    <row r="63" spans="1:12" ht="15.75" thickBot="1" x14ac:dyDescent="0.3"/>
    <row r="64" spans="1:12" ht="20.25" thickBot="1" x14ac:dyDescent="0.3">
      <c r="A64" s="199" t="s">
        <v>46</v>
      </c>
      <c r="B64" s="59"/>
      <c r="C64" s="59"/>
      <c r="D64" s="59"/>
      <c r="E64" s="59"/>
      <c r="F64" s="59"/>
      <c r="G64" s="59"/>
      <c r="H64" s="131"/>
    </row>
    <row r="66" spans="1:11" ht="17.25" x14ac:dyDescent="0.25">
      <c r="A66" s="128" t="s">
        <v>23</v>
      </c>
      <c r="B66" s="129"/>
      <c r="C66" s="129"/>
      <c r="D66" s="130"/>
      <c r="E66" s="202">
        <f>IF($E$62="Medium",IF($E$61&gt;Data!D48,IF($E$61&gt;Data!D49,IF($E$61&gt;Data!D50,IF($E$61&gt;Data!D51,IF($E$61&gt;Data!D52,IF($E$61&gt;Data!D53,IF($E$61&gt;Data!D54,IF($E$61&gt;Data!D55,IF($E$61&gt;Data!D56,IF($E$61&gt;Data!D57,IF($E$61&gt;Data!D58,Data!E59,Data!E58),Data!E57),Data!E56),Data!E55),Data!E54),Data!E53),Data!E52),Data!E51),Data!E50),Data!E49),Data!E48),IF($E$62="High",(IF($E$61&gt;Data!D29,IF($E$61&gt;Data!D30,IF($E$61&gt;Data!D31,IF($E$61&gt;Data!D32,IF($E$61&gt;Data!D33,IF($E$61&gt;Data!D34,IF($E$61&gt;Data!D35,IF($E$61&gt;Data!D36,IF($E$61&gt;Data!D37,IF($E$61&gt;Data!D38,IF($E$61&gt;Data!D39,Data!E40,Data!E39),Data!E37),Data!E36),Data!E35),Data!E34),Data!E33),Data!E52),Data!E32),Data!E31),Data!E30),Data!E29)),IF($E$62="Low",(IF($E$61&gt;Data!D67,IF($E$61&gt;Data!D68,IF($E$61&gt;Data!D69,IF($E$61&gt;Data!D70,IF($E$61&gt;Data!D71,IF($E$61&gt;Data!D72,IF($E$61&gt;Data!D73,IF($E$61&gt;Data!D74,IF($E$61&gt;Data!D75,IF($E$61&gt;Data!D76,IF($E$61&gt;Data!D77,Data!E78,Data!E77),Data!E76),Data!E75),Data!E74),Data!E73),Data!E72),Data!E71),Data!E70),Data!E69),Data!E68),Data!E67)))))</f>
        <v>312886.84000000003</v>
      </c>
      <c r="F66" s="133"/>
      <c r="G66" s="133"/>
      <c r="H66" s="134"/>
    </row>
    <row r="67" spans="1:11" ht="17.25" x14ac:dyDescent="0.25">
      <c r="A67" s="138" t="s">
        <v>51</v>
      </c>
      <c r="B67" s="61"/>
      <c r="C67" s="61"/>
      <c r="D67" s="139"/>
      <c r="E67" s="203">
        <f>IF($E$62="Medium",($E$61-(VLOOKUP($E$66,Data!E48:G59,3,FALSE)))*(VLOOKUP($E$66,Data!E48:G59,2,FALSE)),IF($E$62="High",($E$61-(VLOOKUP($E$66,Data!E29:G40,3,FALSE)))*(VLOOKUP($E$66,Data!E29:G40,2,FALSE)),IF($E$62="Low",($E$61-(VLOOKUP($E$66,Data!E66:G78,3,FALSE)))*(VLOOKUP($E$66,Data!E66:G78,2,FALSE)))))</f>
        <v>28606.023852000009</v>
      </c>
      <c r="F67" s="79"/>
      <c r="G67" s="79"/>
      <c r="H67" s="143"/>
    </row>
    <row r="68" spans="1:11" ht="17.25" x14ac:dyDescent="0.25">
      <c r="A68" s="138"/>
      <c r="B68" s="61"/>
      <c r="C68" s="61"/>
      <c r="D68" s="139"/>
      <c r="E68" s="203">
        <f>E66+E67</f>
        <v>341492.86385200004</v>
      </c>
      <c r="F68" s="79"/>
      <c r="G68" s="79"/>
      <c r="H68" s="143"/>
    </row>
    <row r="69" spans="1:11" ht="17.25" x14ac:dyDescent="0.25">
      <c r="A69" s="138" t="s">
        <v>54</v>
      </c>
      <c r="B69" s="61"/>
      <c r="C69" s="61"/>
      <c r="D69" s="139"/>
      <c r="E69" s="204">
        <v>0</v>
      </c>
      <c r="F69" s="4"/>
      <c r="G69" s="4"/>
      <c r="H69" s="146"/>
    </row>
    <row r="70" spans="1:11" ht="18" x14ac:dyDescent="0.25">
      <c r="A70" s="140" t="s">
        <v>56</v>
      </c>
      <c r="B70" s="141"/>
      <c r="C70" s="141"/>
      <c r="D70" s="142"/>
      <c r="E70" s="205">
        <f>E68+E69</f>
        <v>341492.86385200004</v>
      </c>
      <c r="F70" s="144"/>
      <c r="G70" s="144"/>
      <c r="H70" s="145"/>
    </row>
    <row r="71" spans="1:11" ht="15.75" thickBot="1" x14ac:dyDescent="0.3"/>
    <row r="72" spans="1:11" ht="19.5" thickBot="1" x14ac:dyDescent="0.35">
      <c r="A72" s="201" t="s">
        <v>38</v>
      </c>
      <c r="B72" s="147"/>
      <c r="C72" s="147"/>
      <c r="D72" s="148"/>
      <c r="E72" s="108" t="s">
        <v>39</v>
      </c>
      <c r="F72" s="108" t="s">
        <v>103</v>
      </c>
      <c r="G72" s="125" t="s">
        <v>68</v>
      </c>
      <c r="H72" s="108" t="s">
        <v>102</v>
      </c>
    </row>
    <row r="73" spans="1:11" ht="17.25" x14ac:dyDescent="0.3">
      <c r="A73" s="84" t="s">
        <v>113</v>
      </c>
      <c r="B73" s="126" t="s">
        <v>117</v>
      </c>
      <c r="C73" s="126"/>
      <c r="D73" s="126"/>
      <c r="E73" s="105">
        <v>0.02</v>
      </c>
      <c r="F73" s="83">
        <f>$E$70*E73</f>
        <v>6829.8572770400006</v>
      </c>
      <c r="G73" s="105"/>
      <c r="H73" s="106">
        <f>IF(G73=0,F73,F73-(F73*G73))</f>
        <v>6829.8572770400006</v>
      </c>
    </row>
    <row r="74" spans="1:11" ht="17.25" x14ac:dyDescent="0.3">
      <c r="A74" s="88" t="s">
        <v>112</v>
      </c>
      <c r="B74" s="3" t="s">
        <v>115</v>
      </c>
      <c r="C74" s="3"/>
      <c r="D74" s="3"/>
      <c r="E74" s="208">
        <v>0.15</v>
      </c>
      <c r="F74" s="5">
        <f t="shared" ref="F74:F79" si="1">$E$70*E74</f>
        <v>51223.929577800001</v>
      </c>
      <c r="G74" s="208"/>
      <c r="H74" s="87">
        <f t="shared" ref="H74:H79" si="2">IF(G74=0,F74,F74-(F74*G74))</f>
        <v>51223.929577800001</v>
      </c>
    </row>
    <row r="75" spans="1:11" ht="17.25" x14ac:dyDescent="0.3">
      <c r="A75" s="88" t="s">
        <v>111</v>
      </c>
      <c r="B75" s="3" t="s">
        <v>114</v>
      </c>
      <c r="C75" s="3"/>
      <c r="D75" s="3"/>
      <c r="E75" s="208">
        <v>0.2</v>
      </c>
      <c r="F75" s="5">
        <f t="shared" si="1"/>
        <v>68298.572770400016</v>
      </c>
      <c r="G75" s="208"/>
      <c r="H75" s="87">
        <f t="shared" si="2"/>
        <v>68298.572770400016</v>
      </c>
      <c r="J75" s="217"/>
    </row>
    <row r="76" spans="1:11" ht="17.25" x14ac:dyDescent="0.3">
      <c r="A76" s="88" t="s">
        <v>47</v>
      </c>
      <c r="B76" s="3" t="s">
        <v>48</v>
      </c>
      <c r="C76" s="3"/>
      <c r="D76" s="3"/>
      <c r="E76" s="208">
        <v>0.1</v>
      </c>
      <c r="F76" s="5">
        <f t="shared" si="1"/>
        <v>34149.286385200008</v>
      </c>
      <c r="G76" s="208"/>
      <c r="H76" s="87">
        <f t="shared" si="2"/>
        <v>34149.286385200008</v>
      </c>
      <c r="J76" s="217"/>
      <c r="K76" s="93"/>
    </row>
    <row r="77" spans="1:11" ht="17.25" x14ac:dyDescent="0.3">
      <c r="A77" s="88" t="s">
        <v>59</v>
      </c>
      <c r="B77" s="3" t="s">
        <v>49</v>
      </c>
      <c r="C77" s="3"/>
      <c r="D77" s="3"/>
      <c r="E77" s="208">
        <v>0.2</v>
      </c>
      <c r="F77" s="5">
        <f t="shared" si="1"/>
        <v>68298.572770400016</v>
      </c>
      <c r="G77" s="208"/>
      <c r="H77" s="87">
        <f>IF(G77=0,F77,F77-(F77*G77))</f>
        <v>68298.572770400016</v>
      </c>
      <c r="J77" s="217"/>
      <c r="K77" s="93"/>
    </row>
    <row r="78" spans="1:11" ht="17.25" x14ac:dyDescent="0.3">
      <c r="A78" s="88" t="s">
        <v>52</v>
      </c>
      <c r="B78" s="3" t="s">
        <v>116</v>
      </c>
      <c r="C78" s="3"/>
      <c r="D78" s="3"/>
      <c r="E78" s="208">
        <v>0.3</v>
      </c>
      <c r="F78" s="5">
        <f t="shared" si="1"/>
        <v>102447.8591556</v>
      </c>
      <c r="G78" s="208"/>
      <c r="H78" s="87">
        <f>IF(G78=0,F78,F78-(F78*G78))</f>
        <v>102447.8591556</v>
      </c>
      <c r="J78" s="217">
        <f>H78+H79</f>
        <v>112692.64507116</v>
      </c>
    </row>
    <row r="79" spans="1:11" ht="18" thickBot="1" x14ac:dyDescent="0.35">
      <c r="A79" s="89" t="s">
        <v>110</v>
      </c>
      <c r="B79" s="127" t="s">
        <v>109</v>
      </c>
      <c r="C79" s="127"/>
      <c r="D79" s="127"/>
      <c r="E79" s="107">
        <v>0.03</v>
      </c>
      <c r="F79" s="85">
        <f t="shared" si="1"/>
        <v>10244.78591556</v>
      </c>
      <c r="G79" s="107"/>
      <c r="H79" s="86">
        <f t="shared" si="2"/>
        <v>10244.78591556</v>
      </c>
      <c r="J79" s="218"/>
    </row>
    <row r="80" spans="1:11" ht="18" thickBot="1" x14ac:dyDescent="0.35">
      <c r="A80" s="1"/>
      <c r="B80" s="1"/>
      <c r="C80" s="1"/>
      <c r="F80" s="1"/>
      <c r="G80" s="3"/>
      <c r="H80" s="1"/>
    </row>
    <row r="81" spans="1:11" ht="19.5" thickBot="1" x14ac:dyDescent="0.35">
      <c r="A81" s="1"/>
      <c r="B81" s="1"/>
      <c r="C81" s="1"/>
      <c r="E81" s="268" t="s">
        <v>91</v>
      </c>
      <c r="F81" s="269"/>
      <c r="G81" s="270"/>
      <c r="H81" s="113">
        <f>H82*(1-(SUM(H73:H79)/H82))</f>
        <v>0</v>
      </c>
    </row>
    <row r="82" spans="1:11" ht="19.5" thickBot="1" x14ac:dyDescent="0.35">
      <c r="B82" s="109"/>
      <c r="C82" s="109"/>
      <c r="E82" s="268" t="s">
        <v>55</v>
      </c>
      <c r="F82" s="269"/>
      <c r="G82" s="270"/>
      <c r="H82" s="113">
        <f>SUM(F73:F79)</f>
        <v>341492.86385200004</v>
      </c>
      <c r="J82" s="93"/>
    </row>
    <row r="83" spans="1:11" ht="15.75" thickBot="1" x14ac:dyDescent="0.3"/>
    <row r="84" spans="1:11" ht="18.75" thickBot="1" x14ac:dyDescent="0.3">
      <c r="E84" s="271" t="s">
        <v>100</v>
      </c>
      <c r="F84" s="272"/>
      <c r="G84" s="273"/>
      <c r="H84" s="110">
        <f>H82-H81</f>
        <v>341492.86385200004</v>
      </c>
    </row>
    <row r="85" spans="1:11" ht="17.25" x14ac:dyDescent="0.3">
      <c r="A85" s="1"/>
      <c r="B85" s="207"/>
      <c r="C85" s="174"/>
      <c r="D85" s="174"/>
      <c r="E85" s="60"/>
      <c r="F85" s="156"/>
      <c r="G85" s="4"/>
      <c r="H85" s="79"/>
    </row>
    <row r="86" spans="1:11" ht="17.25" x14ac:dyDescent="0.3">
      <c r="D86" s="1"/>
      <c r="E86" s="60"/>
      <c r="F86" s="60"/>
      <c r="G86" s="3"/>
      <c r="J86" s="60">
        <v>1466117.4315939997</v>
      </c>
      <c r="K86" s="93"/>
    </row>
    <row r="87" spans="1:11" ht="17.25" x14ac:dyDescent="0.3">
      <c r="D87" s="274" t="s">
        <v>118</v>
      </c>
      <c r="E87" s="275"/>
      <c r="F87" s="219">
        <f>COUNT(D92:E97)</f>
        <v>3</v>
      </c>
      <c r="G87" s="210"/>
      <c r="H87" s="211">
        <f>SUM(J87)/F87</f>
        <v>24435.290526566663</v>
      </c>
      <c r="J87" s="93">
        <f>J86*0.05</f>
        <v>73305.87157969999</v>
      </c>
    </row>
    <row r="88" spans="1:11" ht="17.25" x14ac:dyDescent="0.3">
      <c r="D88" s="1"/>
      <c r="E88" s="1"/>
      <c r="F88" s="1"/>
      <c r="G88" s="1"/>
      <c r="H88" s="1"/>
      <c r="J88" s="93"/>
    </row>
    <row r="89" spans="1:11" ht="17.25" x14ac:dyDescent="0.3">
      <c r="D89" s="274" t="s">
        <v>121</v>
      </c>
      <c r="E89" s="275"/>
      <c r="F89" s="223">
        <v>22</v>
      </c>
      <c r="G89" s="212"/>
      <c r="H89" s="211">
        <f>H87/F89</f>
        <v>1110.6950239348482</v>
      </c>
    </row>
    <row r="90" spans="1:11" ht="17.25" x14ac:dyDescent="0.3">
      <c r="D90" s="1"/>
      <c r="E90" s="1"/>
      <c r="F90" s="1"/>
      <c r="G90" s="1"/>
      <c r="H90" s="1"/>
      <c r="K90" s="224"/>
    </row>
    <row r="91" spans="1:11" ht="17.25" x14ac:dyDescent="0.3">
      <c r="D91" s="283" t="s">
        <v>104</v>
      </c>
      <c r="E91" s="282"/>
      <c r="F91" s="282" t="s">
        <v>105</v>
      </c>
      <c r="G91" s="282"/>
      <c r="H91" s="213" t="s">
        <v>106</v>
      </c>
    </row>
    <row r="92" spans="1:11" ht="17.25" x14ac:dyDescent="0.3">
      <c r="D92" s="264">
        <v>1</v>
      </c>
      <c r="E92" s="264"/>
      <c r="F92" s="281">
        <v>2</v>
      </c>
      <c r="G92" s="281"/>
      <c r="H92" s="214">
        <f>$H$87</f>
        <v>24435.290526566663</v>
      </c>
    </row>
    <row r="93" spans="1:11" ht="17.25" x14ac:dyDescent="0.3">
      <c r="D93" s="281">
        <v>2</v>
      </c>
      <c r="E93" s="281"/>
      <c r="F93" s="281">
        <v>2</v>
      </c>
      <c r="G93" s="281"/>
      <c r="H93" s="214">
        <f>$H$87</f>
        <v>24435.290526566663</v>
      </c>
    </row>
    <row r="94" spans="1:11" ht="17.25" x14ac:dyDescent="0.3">
      <c r="D94" s="281">
        <v>3</v>
      </c>
      <c r="E94" s="281"/>
      <c r="F94" s="281">
        <v>4</v>
      </c>
      <c r="G94" s="281"/>
      <c r="H94" s="214">
        <f>$H$87</f>
        <v>24435.290526566663</v>
      </c>
    </row>
    <row r="95" spans="1:11" ht="17.25" x14ac:dyDescent="0.3">
      <c r="D95" s="281"/>
      <c r="E95" s="281"/>
      <c r="F95" s="281"/>
      <c r="G95" s="281"/>
      <c r="H95" s="214"/>
    </row>
    <row r="96" spans="1:11" ht="17.25" x14ac:dyDescent="0.3">
      <c r="D96" s="281" t="s">
        <v>122</v>
      </c>
      <c r="E96" s="281"/>
      <c r="F96" s="281">
        <f>SUM(F92:G94)</f>
        <v>8</v>
      </c>
      <c r="G96" s="281"/>
      <c r="H96" s="214">
        <f>F96*I96</f>
        <v>3520</v>
      </c>
      <c r="I96">
        <f>40*2*5.5</f>
        <v>440</v>
      </c>
      <c r="J96" s="155">
        <f>H87-H96</f>
        <v>20915.290526566663</v>
      </c>
    </row>
    <row r="97" spans="4:11" ht="17.25" x14ac:dyDescent="0.3">
      <c r="D97" s="281"/>
      <c r="E97" s="281"/>
      <c r="F97" s="281"/>
      <c r="G97" s="281"/>
      <c r="H97" s="214"/>
    </row>
    <row r="98" spans="4:11" ht="17.25" x14ac:dyDescent="0.3">
      <c r="D98" s="281"/>
      <c r="E98" s="281"/>
      <c r="F98" s="281"/>
      <c r="G98" s="281"/>
      <c r="H98" s="214"/>
    </row>
    <row r="100" spans="4:11" ht="22.5" customHeight="1" x14ac:dyDescent="0.3">
      <c r="D100" s="283" t="s">
        <v>119</v>
      </c>
      <c r="E100" s="282"/>
      <c r="F100" s="282"/>
      <c r="G100" s="282"/>
      <c r="H100" s="211">
        <f>SUM(H92:H97)</f>
        <v>76825.87157969999</v>
      </c>
    </row>
    <row r="101" spans="4:11" ht="17.25" x14ac:dyDescent="0.3">
      <c r="D101" s="3"/>
      <c r="E101" s="1"/>
      <c r="F101" s="1"/>
      <c r="G101" s="3"/>
      <c r="H101" s="214"/>
    </row>
    <row r="102" spans="4:11" ht="17.25" x14ac:dyDescent="0.3">
      <c r="D102" s="215" t="s">
        <v>107</v>
      </c>
      <c r="E102" s="210"/>
      <c r="F102" s="210"/>
      <c r="G102" s="210"/>
      <c r="H102" s="216">
        <f>SUM(F92:F94)</f>
        <v>8</v>
      </c>
      <c r="J102" s="209"/>
    </row>
    <row r="111" spans="4:11" x14ac:dyDescent="0.25">
      <c r="K111" s="112"/>
    </row>
    <row r="112" spans="4:11" x14ac:dyDescent="0.25">
      <c r="K112" s="111"/>
    </row>
    <row r="113" spans="4:5" x14ac:dyDescent="0.25">
      <c r="D113" s="284"/>
      <c r="E113" s="284"/>
    </row>
    <row r="114" spans="4:5" x14ac:dyDescent="0.25">
      <c r="D114" s="284"/>
      <c r="E114" s="284"/>
    </row>
    <row r="115" spans="4:5" x14ac:dyDescent="0.25">
      <c r="D115" s="284"/>
      <c r="E115" s="284"/>
    </row>
  </sheetData>
  <mergeCells count="36">
    <mergeCell ref="D100:E100"/>
    <mergeCell ref="F100:G100"/>
    <mergeCell ref="D113:E113"/>
    <mergeCell ref="D114:E114"/>
    <mergeCell ref="D115:E115"/>
    <mergeCell ref="D96:E96"/>
    <mergeCell ref="F96:G96"/>
    <mergeCell ref="F97:G97"/>
    <mergeCell ref="D98:E98"/>
    <mergeCell ref="F98:G98"/>
    <mergeCell ref="D97:E97"/>
    <mergeCell ref="D95:E95"/>
    <mergeCell ref="F95:G95"/>
    <mergeCell ref="D94:E94"/>
    <mergeCell ref="D89:E89"/>
    <mergeCell ref="F91:G91"/>
    <mergeCell ref="D92:E92"/>
    <mergeCell ref="F92:G92"/>
    <mergeCell ref="D93:E93"/>
    <mergeCell ref="F93:G93"/>
    <mergeCell ref="D91:E91"/>
    <mergeCell ref="J18:K18"/>
    <mergeCell ref="J21:K21"/>
    <mergeCell ref="J26:K26"/>
    <mergeCell ref="E61:H61"/>
    <mergeCell ref="F94:G94"/>
    <mergeCell ref="E62:H62"/>
    <mergeCell ref="E81:G81"/>
    <mergeCell ref="E82:G82"/>
    <mergeCell ref="E84:G84"/>
    <mergeCell ref="D87:E87"/>
    <mergeCell ref="J13:K13"/>
    <mergeCell ref="A11:H11"/>
    <mergeCell ref="A13:C13"/>
    <mergeCell ref="A14:C14"/>
    <mergeCell ref="A15:B15"/>
  </mergeCells>
  <phoneticPr fontId="23" type="noConversion"/>
  <dataValidations count="3">
    <dataValidation type="list" allowBlank="1" showInputMessage="1" showErrorMessage="1" sqref="E62" xr:uid="{470D043C-A134-4CF4-AED7-E5C44A026038}">
      <formula1>"Low,Medium,High"</formula1>
    </dataValidation>
    <dataValidation type="list" allowBlank="1" showInputMessage="1" showErrorMessage="1" sqref="D37:D39" xr:uid="{C59AC45A-36C6-42B4-B117-4A53BA6E46DB}">
      <formula1>"Dewald, Hannes, Johan"</formula1>
    </dataValidation>
    <dataValidation type="list" allowBlank="1" showInputMessage="1" showErrorMessage="1" sqref="D16:D21" xr:uid="{5EDACF7A-BC90-4651-800C-B0C849F1BC5F}">
      <formula1>"Director, Staff"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44" zoomScale="85" zoomScaleNormal="85" workbookViewId="0">
      <selection activeCell="J69" sqref="J69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34</v>
      </c>
      <c r="C3" s="14"/>
      <c r="D3" s="14"/>
      <c r="E3" s="15"/>
      <c r="G3" s="4">
        <v>9</v>
      </c>
    </row>
    <row r="4" spans="2:23" ht="18" thickBot="1" x14ac:dyDescent="0.35">
      <c r="B4" s="16" t="s">
        <v>35</v>
      </c>
      <c r="C4" s="17" t="s">
        <v>36</v>
      </c>
      <c r="D4" s="22"/>
      <c r="E4" s="8" t="s">
        <v>4</v>
      </c>
      <c r="F4" s="70" t="s">
        <v>64</v>
      </c>
      <c r="G4" s="1" t="s">
        <v>75</v>
      </c>
      <c r="H4" s="81" t="s">
        <v>19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672</v>
      </c>
      <c r="G5" s="5">
        <f>F5*G3</f>
        <v>6048</v>
      </c>
      <c r="H5" s="82">
        <f>G5+E5</f>
        <v>9821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38</v>
      </c>
      <c r="O8" s="28"/>
      <c r="P8" s="29" t="s">
        <v>39</v>
      </c>
      <c r="Q8" s="28" t="s">
        <v>40</v>
      </c>
      <c r="R8" s="28" t="s">
        <v>41</v>
      </c>
      <c r="S8" s="28" t="s">
        <v>42</v>
      </c>
      <c r="U8" s="28" t="s">
        <v>43</v>
      </c>
      <c r="V8"/>
      <c r="W8"/>
    </row>
    <row r="9" spans="2:23" ht="18" thickBot="1" x14ac:dyDescent="0.35">
      <c r="B9" s="26" t="s">
        <v>37</v>
      </c>
      <c r="C9" s="27">
        <v>2634000</v>
      </c>
      <c r="M9"/>
      <c r="N9" s="67" t="s">
        <v>44</v>
      </c>
      <c r="O9" s="9" t="s">
        <v>45</v>
      </c>
      <c r="P9" s="31">
        <v>0.4</v>
      </c>
      <c r="Q9" s="32">
        <f>C18*P9</f>
        <v>154800.52924000003</v>
      </c>
      <c r="R9" s="33">
        <v>0</v>
      </c>
      <c r="S9" s="34">
        <f>Q9-W9</f>
        <v>154800.52924000003</v>
      </c>
      <c r="U9" s="35" t="s">
        <v>17</v>
      </c>
      <c r="V9"/>
      <c r="W9" s="36">
        <f>Q9*R9</f>
        <v>0</v>
      </c>
    </row>
    <row r="10" spans="2:23" x14ac:dyDescent="0.3">
      <c r="B10" s="1" t="s">
        <v>84</v>
      </c>
      <c r="C10" s="3" t="s">
        <v>108</v>
      </c>
      <c r="M10"/>
      <c r="N10" s="65" t="s">
        <v>47</v>
      </c>
      <c r="O10" s="38" t="s">
        <v>48</v>
      </c>
      <c r="P10" s="39">
        <v>0.2</v>
      </c>
      <c r="Q10" s="40">
        <f>C18*P10</f>
        <v>77400.264620000016</v>
      </c>
      <c r="R10" s="41">
        <v>0</v>
      </c>
      <c r="S10" s="42">
        <f>Q10-W10</f>
        <v>77400.264620000016</v>
      </c>
      <c r="U10" s="43" t="s">
        <v>17</v>
      </c>
      <c r="V10"/>
      <c r="W10" s="44">
        <f>Q10*R10</f>
        <v>0</v>
      </c>
    </row>
    <row r="11" spans="2:23" x14ac:dyDescent="0.3">
      <c r="M11"/>
      <c r="N11" s="65" t="s">
        <v>59</v>
      </c>
      <c r="O11" s="38" t="s">
        <v>49</v>
      </c>
      <c r="P11" s="39">
        <v>0.1</v>
      </c>
      <c r="Q11" s="40">
        <f>C18*P11</f>
        <v>38700.132310000008</v>
      </c>
      <c r="R11" s="41">
        <v>0</v>
      </c>
      <c r="S11" s="42">
        <f>Q11-W11</f>
        <v>38700.132310000008</v>
      </c>
      <c r="U11" s="43" t="s">
        <v>50</v>
      </c>
      <c r="V11"/>
      <c r="W11" s="44">
        <f>Q11*R11</f>
        <v>0</v>
      </c>
    </row>
    <row r="12" spans="2:23" ht="18" thickBot="1" x14ac:dyDescent="0.35">
      <c r="M12"/>
      <c r="N12" s="66" t="s">
        <v>52</v>
      </c>
      <c r="O12" s="20" t="s">
        <v>53</v>
      </c>
      <c r="P12" s="46">
        <v>0.3</v>
      </c>
      <c r="Q12" s="19">
        <f>C18*P12</f>
        <v>116100.39693</v>
      </c>
      <c r="R12" s="47">
        <v>0</v>
      </c>
      <c r="S12" s="21">
        <f>Q12-W12</f>
        <v>116100.39693</v>
      </c>
      <c r="U12" s="48" t="s">
        <v>50</v>
      </c>
      <c r="V12"/>
      <c r="W12" s="49">
        <f>Q12*R12</f>
        <v>0</v>
      </c>
    </row>
    <row r="13" spans="2:23" ht="18" thickBot="1" x14ac:dyDescent="0.35">
      <c r="B13" s="287" t="s">
        <v>46</v>
      </c>
      <c r="C13" s="288"/>
      <c r="M13"/>
      <c r="V13"/>
      <c r="W13"/>
    </row>
    <row r="14" spans="2:23" ht="18" thickBot="1" x14ac:dyDescent="0.35">
      <c r="B14" s="30" t="s">
        <v>23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312886.84000000003</v>
      </c>
      <c r="M14"/>
      <c r="N14" s="285" t="s">
        <v>55</v>
      </c>
      <c r="O14" s="286"/>
      <c r="P14" s="55"/>
      <c r="Q14" s="51">
        <f>SUM(Q9:Q12)</f>
        <v>387001.32310000004</v>
      </c>
      <c r="R14" s="45"/>
      <c r="S14" s="20"/>
      <c r="V14"/>
      <c r="W14"/>
    </row>
    <row r="15" spans="2:23" ht="18" thickBot="1" x14ac:dyDescent="0.35">
      <c r="B15" s="37" t="s">
        <v>51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74114.483099999998</v>
      </c>
      <c r="E15" s="5"/>
      <c r="M15"/>
      <c r="N15" s="28" t="s">
        <v>57</v>
      </c>
      <c r="O15" s="6"/>
      <c r="P15" s="6"/>
      <c r="Q15" s="6"/>
      <c r="R15" s="7" t="s">
        <v>58</v>
      </c>
      <c r="S15" s="53">
        <f>SUM(S9:S12)</f>
        <v>387001.32310000004</v>
      </c>
      <c r="V15"/>
      <c r="W15"/>
    </row>
    <row r="16" spans="2:23" x14ac:dyDescent="0.3">
      <c r="B16" s="37"/>
      <c r="C16" s="42">
        <f>C14+C15</f>
        <v>387001.32310000004</v>
      </c>
    </row>
    <row r="17" spans="2:12" ht="18" thickBot="1" x14ac:dyDescent="0.35">
      <c r="B17" s="45" t="s">
        <v>54</v>
      </c>
      <c r="C17" s="50">
        <v>0</v>
      </c>
    </row>
    <row r="18" spans="2:12" ht="18" thickBot="1" x14ac:dyDescent="0.35">
      <c r="B18" s="54" t="s">
        <v>56</v>
      </c>
      <c r="C18" s="52">
        <f>C16+C17</f>
        <v>387001.32310000004</v>
      </c>
    </row>
    <row r="24" spans="2:12" x14ac:dyDescent="0.3">
      <c r="B24" s="289" t="s">
        <v>20</v>
      </c>
      <c r="C24" s="289"/>
      <c r="D24" s="289"/>
      <c r="E24" s="289"/>
      <c r="F24" s="289"/>
      <c r="G24" s="289"/>
    </row>
    <row r="25" spans="2:12" x14ac:dyDescent="0.3">
      <c r="B25" s="290" t="s">
        <v>21</v>
      </c>
      <c r="C25" s="290" t="s">
        <v>22</v>
      </c>
      <c r="D25" s="290"/>
      <c r="E25" s="290" t="s">
        <v>23</v>
      </c>
      <c r="F25" s="290" t="s">
        <v>24</v>
      </c>
      <c r="G25" s="290"/>
      <c r="J25" s="161" t="s">
        <v>86</v>
      </c>
      <c r="K25" s="162">
        <f>IF($C$9&gt;D29,IF($C$9&gt;D30,IF($C$9&gt;D31,IF($C$9&gt;D32,IF($C$9&gt;D33,IF($C$9&gt;D34,IF($C$9&gt;D35,IF($C$9&gt;D36,IF($C$9&gt;D37,IF($C$9&gt;D38,IF($C$9&gt;D39,E40,E39),E37),E36),E35),E34),E33),100),E32),E31),E30),E29)</f>
        <v>364263.1</v>
      </c>
      <c r="L25" s="163">
        <f>VLOOKUP(K25,E29:G40,2,FALSE)</f>
        <v>0.1361</v>
      </c>
    </row>
    <row r="26" spans="2:12" x14ac:dyDescent="0.3">
      <c r="B26" s="290"/>
      <c r="C26" s="10"/>
      <c r="D26" s="10"/>
      <c r="E26" s="290"/>
      <c r="F26" s="10"/>
      <c r="G26" s="10"/>
      <c r="J26" s="77" t="s">
        <v>90</v>
      </c>
      <c r="K26" s="5">
        <f>K25+L27</f>
        <v>450550.3639</v>
      </c>
      <c r="L26" s="164">
        <f>VLOOKUP(K25,E29:G40,3,FALSE)</f>
        <v>2000001</v>
      </c>
    </row>
    <row r="27" spans="2:12" x14ac:dyDescent="0.3">
      <c r="B27" s="290"/>
      <c r="C27" s="10" t="s">
        <v>25</v>
      </c>
      <c r="D27" s="10" t="s">
        <v>26</v>
      </c>
      <c r="E27" s="290"/>
      <c r="F27" s="10" t="s">
        <v>27</v>
      </c>
      <c r="G27" s="10" t="s">
        <v>28</v>
      </c>
      <c r="J27" s="165"/>
      <c r="K27" s="166" t="s">
        <v>98</v>
      </c>
      <c r="L27" s="167">
        <f>(C9-L26)*L25</f>
        <v>86287.263900000005</v>
      </c>
    </row>
    <row r="28" spans="2:12" x14ac:dyDescent="0.3">
      <c r="B28" s="290"/>
      <c r="C28" s="10" t="s">
        <v>29</v>
      </c>
      <c r="D28" s="10" t="s">
        <v>30</v>
      </c>
      <c r="E28" s="10" t="s">
        <v>31</v>
      </c>
      <c r="F28" s="10" t="s">
        <v>32</v>
      </c>
      <c r="G28" s="10" t="s">
        <v>33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14249.82</v>
      </c>
      <c r="F29" s="13">
        <v>0.22020000000000001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58288.24</v>
      </c>
      <c r="F30" s="13">
        <v>0.2117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153523.63</v>
      </c>
      <c r="F31" s="13">
        <v>0.15609999999999999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364263.1</v>
      </c>
      <c r="F32" s="13">
        <v>0.1361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636438.06999999995</v>
      </c>
      <c r="F33" s="13">
        <v>0.13250000000000001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967738.13</v>
      </c>
      <c r="F34" s="13">
        <v>0.11509999999999999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1715380.21</v>
      </c>
      <c r="F35" s="13">
        <v>0.11119999999999999</v>
      </c>
      <c r="G35" s="12">
        <v>13000001</v>
      </c>
      <c r="K35" s="91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4718284</v>
      </c>
      <c r="F36" s="13">
        <v>0.11119999999999999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14721703.949999999</v>
      </c>
      <c r="F37" s="13">
        <v>0.10390000000000001</v>
      </c>
      <c r="G37" s="12">
        <v>130000001</v>
      </c>
      <c r="K37" s="91"/>
    </row>
    <row r="38" spans="2:12" x14ac:dyDescent="0.3">
      <c r="B38" s="11">
        <v>10</v>
      </c>
      <c r="C38" s="12">
        <v>260000001</v>
      </c>
      <c r="D38" s="12">
        <v>520000000</v>
      </c>
      <c r="E38" s="12">
        <v>28238356.02</v>
      </c>
      <c r="F38" s="13">
        <v>0.1016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54654882.619999997</v>
      </c>
      <c r="F39" s="13">
        <v>9.9000000000000005E-2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57"/>
      <c r="E40" s="12">
        <v>106144722.59</v>
      </c>
      <c r="F40" s="13">
        <v>9.1600000000000001E-2</v>
      </c>
      <c r="G40" s="12">
        <v>1040000001</v>
      </c>
    </row>
    <row r="43" spans="2:12" x14ac:dyDescent="0.3">
      <c r="B43" s="58" t="s">
        <v>60</v>
      </c>
      <c r="C43" s="58"/>
      <c r="D43" s="58"/>
      <c r="E43" s="58"/>
      <c r="F43" s="58"/>
      <c r="G43" s="58"/>
    </row>
    <row r="44" spans="2:12" x14ac:dyDescent="0.3">
      <c r="B44" s="10" t="s">
        <v>21</v>
      </c>
      <c r="C44" s="10" t="s">
        <v>22</v>
      </c>
      <c r="D44" s="10"/>
      <c r="E44" s="10" t="s">
        <v>23</v>
      </c>
      <c r="F44" s="175" t="s">
        <v>24</v>
      </c>
      <c r="G44" s="176"/>
      <c r="J44" s="161" t="s">
        <v>86</v>
      </c>
      <c r="K44" s="162">
        <f>IF($C$9&gt;D48,IF($C$9&gt;D49,IF($C$9&gt;D50,IF($C$9&gt;D51,IF($C$9&gt;D52,IF($C$9&gt;D53,IF($C$9&gt;D54,IF($C$9&gt;D55,IF($C$9&gt;D56,IF($C$9&gt;D57,IF($C$9&gt;D58,E59,E58),E57),E56),E55),E54),E53),100),E51),E50),E49),E48)</f>
        <v>312886.84000000003</v>
      </c>
      <c r="L44" s="163">
        <f>VLOOKUP(K44,E48:G59,2,FALSE)</f>
        <v>0.1169</v>
      </c>
    </row>
    <row r="45" spans="2:12" x14ac:dyDescent="0.3">
      <c r="B45" s="10"/>
      <c r="C45" s="10"/>
      <c r="D45" s="10"/>
      <c r="E45" s="10"/>
      <c r="F45" s="10"/>
      <c r="G45" s="10"/>
      <c r="J45" s="77" t="s">
        <v>90</v>
      </c>
      <c r="K45" s="5">
        <f>K44+L46</f>
        <v>387001.32310000004</v>
      </c>
      <c r="L45" s="164">
        <f>VLOOKUP(K44,E48:G59,3,FALSE)</f>
        <v>2000001</v>
      </c>
    </row>
    <row r="46" spans="2:12" x14ac:dyDescent="0.3">
      <c r="B46" s="10"/>
      <c r="C46" s="10" t="s">
        <v>25</v>
      </c>
      <c r="D46" s="10" t="s">
        <v>26</v>
      </c>
      <c r="E46" s="10"/>
      <c r="F46" s="10" t="s">
        <v>27</v>
      </c>
      <c r="G46" s="10" t="s">
        <v>28</v>
      </c>
      <c r="J46" s="165"/>
      <c r="K46" s="166" t="s">
        <v>98</v>
      </c>
      <c r="L46" s="167">
        <f>(C9-L45)*L44</f>
        <v>74114.483099999998</v>
      </c>
    </row>
    <row r="47" spans="2:12" x14ac:dyDescent="0.3">
      <c r="B47" s="10"/>
      <c r="C47" s="10" t="s">
        <v>29</v>
      </c>
      <c r="D47" s="10" t="s">
        <v>30</v>
      </c>
      <c r="E47" s="10" t="s">
        <v>31</v>
      </c>
      <c r="F47" s="10" t="s">
        <v>32</v>
      </c>
      <c r="G47" s="10" t="s">
        <v>33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12240</v>
      </c>
      <c r="F48" s="13">
        <v>0.18909999999999999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50067.17</v>
      </c>
      <c r="F49" s="13">
        <v>0.18179999999999999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131870.39000000001</v>
      </c>
      <c r="F50" s="13">
        <v>0.1341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312886.84000000003</v>
      </c>
      <c r="F51" s="13">
        <v>0.1169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546673.78</v>
      </c>
      <c r="F52" s="13">
        <v>0.1138</v>
      </c>
      <c r="G52" s="12">
        <v>4000001</v>
      </c>
      <c r="K52" s="5"/>
      <c r="L52" s="94"/>
    </row>
    <row r="53" spans="2:12" x14ac:dyDescent="0.3">
      <c r="B53" s="11">
        <v>6</v>
      </c>
      <c r="C53" s="12">
        <v>6500001</v>
      </c>
      <c r="D53" s="12">
        <v>13000000</v>
      </c>
      <c r="E53" s="68">
        <v>831246.74</v>
      </c>
      <c r="F53" s="13">
        <v>9.8799999999999999E-2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1473440.14</v>
      </c>
      <c r="F54" s="13">
        <v>9.5600000000000004E-2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4052809.42</v>
      </c>
      <c r="F55" s="13">
        <v>9.5500000000000002E-2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12645330.470000001</v>
      </c>
      <c r="F56" s="13">
        <v>8.9399999999999993E-2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24255571.57</v>
      </c>
      <c r="F57" s="13">
        <v>8.7300000000000003E-2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46946267.549999997</v>
      </c>
      <c r="F58" s="13">
        <v>8.5099999999999995E-2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57"/>
      <c r="E59" s="12">
        <v>91173895.319999993</v>
      </c>
      <c r="F59" s="13">
        <v>7.8600000000000003E-2</v>
      </c>
      <c r="G59" s="12">
        <v>1040000001</v>
      </c>
    </row>
    <row r="60" spans="2:12" x14ac:dyDescent="0.3">
      <c r="B60" s="95"/>
      <c r="C60" s="158"/>
      <c r="D60" s="159"/>
      <c r="E60" s="158"/>
      <c r="F60" s="160"/>
      <c r="G60" s="158"/>
      <c r="L60" s="56"/>
    </row>
    <row r="61" spans="2:12" x14ac:dyDescent="0.3">
      <c r="K61" s="91"/>
      <c r="L61" s="64"/>
    </row>
    <row r="62" spans="2:12" x14ac:dyDescent="0.3">
      <c r="B62" s="58" t="s">
        <v>97</v>
      </c>
      <c r="C62" s="58"/>
      <c r="D62" s="58"/>
      <c r="E62" s="58"/>
      <c r="F62" s="58"/>
      <c r="G62" s="58"/>
    </row>
    <row r="63" spans="2:12" x14ac:dyDescent="0.3">
      <c r="B63" s="10" t="s">
        <v>21</v>
      </c>
      <c r="C63" s="10" t="s">
        <v>22</v>
      </c>
      <c r="D63" s="10"/>
      <c r="E63" s="10" t="s">
        <v>23</v>
      </c>
      <c r="F63" s="175" t="s">
        <v>24</v>
      </c>
      <c r="G63" s="176"/>
      <c r="J63" s="161" t="s">
        <v>86</v>
      </c>
      <c r="K63" s="162">
        <f>IF($C$9&gt;D67,IF($C$9&gt;D68,IF($C$9&gt;D69,IF($C$9&gt;D70,IF($C$9&gt;D71,IF($C$9&gt;D72,IF($C$9&gt;D73,IF($C$9&gt;D74,IF($C$9&gt;D75,IF($C$9&gt;D76,IF($C$9&gt;D77,E78,E77),E76),E75),E74),E73),E72),100),E70),E69),E68),E67)</f>
        <v>261510.57</v>
      </c>
      <c r="L63" s="163">
        <f>VLOOKUP(K63,E67:G78,2,FALSE)</f>
        <v>9.7699999999999995E-2</v>
      </c>
    </row>
    <row r="64" spans="2:12" x14ac:dyDescent="0.3">
      <c r="B64" s="10"/>
      <c r="C64" s="10"/>
      <c r="D64" s="10"/>
      <c r="E64" s="10"/>
      <c r="F64" s="10"/>
      <c r="G64" s="10"/>
      <c r="J64" s="77" t="s">
        <v>90</v>
      </c>
      <c r="K64" s="5">
        <f>K63+L65</f>
        <v>323452.27230000001</v>
      </c>
      <c r="L64" s="164">
        <f>VLOOKUP(K63,E67:G78,3,FALSE)</f>
        <v>2000001</v>
      </c>
    </row>
    <row r="65" spans="2:12" x14ac:dyDescent="0.3">
      <c r="B65" s="10"/>
      <c r="C65" s="10" t="s">
        <v>25</v>
      </c>
      <c r="D65" s="10" t="s">
        <v>26</v>
      </c>
      <c r="E65" s="10"/>
      <c r="F65" s="10" t="s">
        <v>27</v>
      </c>
      <c r="G65" s="10" t="s">
        <v>28</v>
      </c>
      <c r="J65" s="165"/>
      <c r="K65" s="166" t="s">
        <v>98</v>
      </c>
      <c r="L65" s="167">
        <f>(C9-L64)*L63</f>
        <v>61941.702299999997</v>
      </c>
    </row>
    <row r="66" spans="2:12" x14ac:dyDescent="0.3">
      <c r="B66" s="10"/>
      <c r="C66" s="10" t="s">
        <v>29</v>
      </c>
      <c r="D66" s="10" t="s">
        <v>30</v>
      </c>
      <c r="E66" s="10" t="s">
        <v>31</v>
      </c>
      <c r="F66" s="10" t="s">
        <v>32</v>
      </c>
      <c r="G66" s="10" t="s">
        <v>33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10230.18</v>
      </c>
      <c r="F67" s="13">
        <v>0.15809999999999999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41846.1</v>
      </c>
      <c r="F68" s="13">
        <v>0.152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110217.17</v>
      </c>
      <c r="F69" s="13">
        <v>0.11210000000000001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261510.57</v>
      </c>
      <c r="F70" s="13">
        <v>9.7699999999999995E-2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456909.51</v>
      </c>
      <c r="F71" s="13">
        <v>9.5200000000000007E-2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694755.35</v>
      </c>
      <c r="F72" s="13">
        <v>8.2600000000000007E-2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1231500.08</v>
      </c>
      <c r="F73" s="13">
        <v>7.9899999999999999E-2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3387334.84</v>
      </c>
      <c r="F74" s="13">
        <v>7.9799999999999996E-2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10568956.99</v>
      </c>
      <c r="F75" s="13">
        <v>7.4700000000000003E-2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20272787.120000001</v>
      </c>
      <c r="F76" s="13">
        <v>7.2900000000000006E-2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39237652.490000002</v>
      </c>
      <c r="F77" s="13">
        <v>7.1099999999999997E-2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57"/>
      <c r="E78" s="12">
        <v>76203068.030000001</v>
      </c>
      <c r="F78" s="13">
        <v>6.5699999999999995E-2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disablePrompts="1"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2024-11-29T07:36:33Z</dcterms:modified>
</cp:coreProperties>
</file>