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4\x018 - Durr\01 - VW Canopy\"/>
    </mc:Choice>
  </mc:AlternateContent>
  <xr:revisionPtr revIDLastSave="0" documentId="13_ncr:1_{12FB2CAC-3B83-411A-871F-A6B94A844E45}" xr6:coauthVersionLast="47" xr6:coauthVersionMax="47" xr10:uidLastSave="{00000000-0000-0000-0000-000000000000}"/>
  <bookViews>
    <workbookView xWindow="-28920" yWindow="-120" windowWidth="29040" windowHeight="1584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3" l="1"/>
  <c r="F41" i="3"/>
  <c r="H37" i="3"/>
  <c r="N71" i="3"/>
  <c r="E57" i="3"/>
  <c r="O48" i="3"/>
  <c r="H58" i="3"/>
  <c r="M71" i="3"/>
  <c r="H64" i="3"/>
  <c r="H65" i="3"/>
  <c r="H66" i="3"/>
  <c r="L65" i="3"/>
  <c r="L55" i="3"/>
  <c r="F54" i="3"/>
  <c r="H56" i="3"/>
  <c r="H55" i="3"/>
  <c r="H62" i="3"/>
  <c r="H63" i="3"/>
  <c r="F28" i="3"/>
  <c r="F21" i="3"/>
  <c r="G30" i="3"/>
  <c r="N35" i="3" s="1"/>
  <c r="G25" i="3"/>
  <c r="G24" i="3"/>
  <c r="G23" i="3"/>
  <c r="G22" i="3"/>
  <c r="E28" i="3"/>
  <c r="F33" i="3"/>
  <c r="E33" i="3"/>
  <c r="L48" i="3"/>
  <c r="I91" i="3"/>
  <c r="H96" i="3"/>
  <c r="I82" i="3"/>
  <c r="I80" i="3"/>
  <c r="I81" i="3"/>
  <c r="N84" i="3"/>
  <c r="N83" i="3"/>
  <c r="N82" i="3"/>
  <c r="N81" i="3"/>
  <c r="N80" i="3"/>
  <c r="N79" i="3"/>
  <c r="N78" i="3"/>
  <c r="N77" i="3"/>
  <c r="I78" i="3"/>
  <c r="I89" i="3"/>
  <c r="I94" i="3"/>
  <c r="I88" i="3"/>
  <c r="I87" i="3"/>
  <c r="I84" i="3"/>
  <c r="F34" i="3"/>
  <c r="F32" i="3"/>
  <c r="E23" i="3"/>
  <c r="P21" i="1"/>
  <c r="I15" i="1"/>
  <c r="J15" i="1" s="1"/>
  <c r="D21" i="1" s="1"/>
  <c r="H21" i="1" s="1"/>
  <c r="J21" i="1" s="1"/>
  <c r="I86" i="3"/>
  <c r="I85" i="3"/>
  <c r="I77" i="3"/>
  <c r="F21" i="2"/>
  <c r="H51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H41" i="3" l="1"/>
  <c r="L71" i="3"/>
  <c r="M52" i="3" s="1"/>
  <c r="H60" i="3"/>
  <c r="G21" i="3"/>
  <c r="H50" i="3"/>
  <c r="H33" i="3"/>
  <c r="H28" i="3"/>
  <c r="I96" i="3"/>
  <c r="K96" i="3" s="1"/>
  <c r="N85" i="3"/>
  <c r="F30" i="3"/>
  <c r="L21" i="1"/>
  <c r="D5" i="4"/>
  <c r="D7" i="4" s="1"/>
  <c r="M49" i="2"/>
  <c r="S42" i="2"/>
  <c r="N49" i="2"/>
  <c r="O41" i="2"/>
  <c r="O23" i="2"/>
  <c r="M51" i="2"/>
  <c r="M52" i="2"/>
  <c r="M27" i="2"/>
  <c r="M54" i="3" l="1"/>
  <c r="M53" i="3"/>
  <c r="E103" i="3"/>
  <c r="E104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M55" i="3" l="1"/>
  <c r="E105" i="3"/>
  <c r="E107" i="3" s="1"/>
  <c r="F113" i="3" s="1"/>
  <c r="I113" i="3" s="1"/>
  <c r="K5" i="4"/>
  <c r="I5" i="4" s="1"/>
  <c r="D8" i="4" s="1"/>
  <c r="H20" i="1"/>
  <c r="H19" i="1"/>
  <c r="J19" i="1" s="1"/>
  <c r="U77" i="2"/>
  <c r="T88" i="2"/>
  <c r="T92" i="2"/>
  <c r="U100" i="2"/>
  <c r="O50" i="2"/>
  <c r="O29" i="2"/>
  <c r="O28" i="2"/>
  <c r="O24" i="2"/>
  <c r="F29" i="2"/>
  <c r="F112" i="3" l="1"/>
  <c r="I112" i="3" s="1"/>
  <c r="F111" i="3"/>
  <c r="I111" i="3" s="1"/>
  <c r="F110" i="3"/>
  <c r="I116" i="3" s="1"/>
  <c r="J20" i="1"/>
  <c r="L19" i="1"/>
  <c r="L70" i="2"/>
  <c r="M70" i="2" s="1"/>
  <c r="N70" i="2" s="1"/>
  <c r="I110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E34" i="3" l="1"/>
  <c r="H34" i="3" s="1"/>
  <c r="E32" i="3"/>
  <c r="E24" i="3"/>
  <c r="H24" i="3" s="1"/>
  <c r="E25" i="3"/>
  <c r="L20" i="1"/>
  <c r="E22" i="3"/>
  <c r="I115" i="3"/>
  <c r="I118" i="3" s="1"/>
  <c r="L118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2" i="3" l="1"/>
  <c r="H30" i="3" s="1"/>
  <c r="D9" i="4" l="1"/>
  <c r="H22" i="3"/>
  <c r="H23" i="3"/>
  <c r="H25" i="3" l="1"/>
  <c r="H21" i="3" l="1"/>
  <c r="H57" i="3"/>
  <c r="H54" i="3" l="1"/>
  <c r="H69" i="3" s="1"/>
  <c r="H29" i="3"/>
  <c r="H27" i="3" s="1"/>
  <c r="H40" i="3" s="1"/>
  <c r="N38" i="3" l="1"/>
  <c r="H42" i="3"/>
  <c r="K71" i="3" s="1"/>
  <c r="M47" i="3" s="1"/>
  <c r="H70" i="3"/>
  <c r="H71" i="3" s="1"/>
  <c r="M45" i="3" l="1"/>
  <c r="M46" i="3"/>
  <c r="M64" i="3"/>
  <c r="M63" i="3"/>
  <c r="M62" i="3"/>
  <c r="P45" i="3"/>
  <c r="P47" i="3"/>
  <c r="P46" i="3"/>
  <c r="M48" i="3" l="1"/>
  <c r="P48" i="3"/>
  <c r="M65" i="3"/>
</calcChain>
</file>

<file path=xl/sharedStrings.xml><?xml version="1.0" encoding="utf-8"?>
<sst xmlns="http://schemas.openxmlformats.org/spreadsheetml/2006/main" count="412" uniqueCount="236">
  <si>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</si>
  <si>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</si>
  <si>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</si>
  <si>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</si>
  <si>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</si>
  <si>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</si>
  <si>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</si>
  <si>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</si>
  <si>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</si>
  <si>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</si>
  <si>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</si>
  <si>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</si>
  <si>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</si>
  <si>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</si>
  <si>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</si>
  <si>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</si>
  <si>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</si>
  <si>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</si>
  <si>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</si>
  <si>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</si>
  <si>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</si>
  <si>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</si>
  <si>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</si>
  <si>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</si>
  <si>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</si>
  <si>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</si>
  <si>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</si>
  <si>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</si>
  <si>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</si>
  <si>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</si>
  <si>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</si>
  <si>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</si>
  <si>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</si>
  <si>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</si>
  <si>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</si>
  <si>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</si>
  <si>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</si>
  <si>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</si>
  <si>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</si>
  <si>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</si>
  <si>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</si>
  <si>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</si>
  <si>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</si>
  <si>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</si>
  <si>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</si>
  <si>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</si>
  <si>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</si>
  <si>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</si>
  <si>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</si>
  <si>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</si>
  <si>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</si>
  <si>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</si>
  <si>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</si>
  <si>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</si>
  <si>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</si>
  <si>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</si>
  <si>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</si>
  <si>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</si>
  <si>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</si>
  <si>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</si>
  <si>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</si>
  <si>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</si>
  <si>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</si>
  <si>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</si>
  <si>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</si>
  <si>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</si>
  <si>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</si>
  <si>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</si>
  <si>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</si>
  <si>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</si>
  <si>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</si>
  <si>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</si>
  <si>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</si>
  <si>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</si>
  <si>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</si>
  <si>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</si>
  <si>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</si>
  <si>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</si>
  <si>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</si>
  <si>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</si>
  <si>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</si>
  <si>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</si>
  <si>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</si>
  <si>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</si>
  <si>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</si>
  <si>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</si>
  <si>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</si>
  <si>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</si>
  <si>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</si>
  <si>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</si>
  <si>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</si>
  <si>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</si>
  <si>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</si>
  <si>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</si>
  <si>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</si>
  <si>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</si>
  <si>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</si>
  <si>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</si>
  <si>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</si>
  <si>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</si>
  <si>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</si>
  <si>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</si>
  <si>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</si>
  <si>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</si>
  <si>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</si>
  <si>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</si>
  <si>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</si>
  <si>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</si>
  <si>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</si>
  <si>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</si>
  <si>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</si>
  <si>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</si>
  <si>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</si>
  <si>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</si>
  <si>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</si>
  <si>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</si>
  <si>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</si>
  <si>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</si>
  <si>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</si>
  <si>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Measuring</t>
  </si>
  <si>
    <t>Drawing As-builts</t>
  </si>
  <si>
    <t>Drawing 3D - SketchUp</t>
  </si>
  <si>
    <t>Project Daily Rate</t>
  </si>
  <si>
    <t>Admin</t>
  </si>
  <si>
    <t>Business (After TAX)</t>
  </si>
  <si>
    <t>Employee (sub 2,4)</t>
  </si>
  <si>
    <t>15% Savings</t>
  </si>
  <si>
    <t>Business (incl 15% Savings)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</si>
  <si>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</si>
  <si>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</si>
  <si>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</si>
  <si>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</si>
  <si>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</si>
  <si>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</si>
  <si>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</si>
  <si>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</si>
  <si>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</si>
  <si>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</si>
  <si>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</si>
  <si>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</si>
  <si>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</si>
  <si>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</si>
  <si>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</si>
  <si>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</si>
  <si>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</si>
  <si>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</si>
  <si>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</si>
  <si>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</si>
  <si>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</si>
  <si>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</si>
  <si>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</si>
  <si>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>2D and Concept 3d</t>
  </si>
  <si>
    <t>2d and Conceptual 3d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</si>
  <si>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</si>
  <si>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</si>
  <si>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</si>
  <si>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</si>
  <si>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</si>
  <si>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</si>
  <si>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</si>
  <si>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</si>
  <si>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</si>
  <si>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</si>
  <si>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</si>
  <si>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</si>
  <si>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</si>
  <si>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</si>
  <si>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</si>
  <si>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</si>
  <si>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</si>
  <si>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</si>
  <si>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</si>
  <si>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</si>
  <si>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</si>
  <si>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</si>
  <si>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</si>
  <si>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</si>
  <si>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</si>
  <si>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</si>
  <si>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</si>
  <si>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</si>
  <si>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</si>
  <si>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</si>
  <si>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</si>
  <si>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</si>
  <si>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</si>
  <si>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</si>
  <si>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</si>
  <si>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</si>
  <si>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</si>
  <si>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Hannes &amp; Dewald</t>
  </si>
  <si>
    <t>Reduced Directors</t>
  </si>
  <si>
    <t>Directors</t>
  </si>
  <si>
    <t>Phase  1 : Measure and Redraw</t>
  </si>
  <si>
    <t>Main design</t>
  </si>
  <si>
    <t>PHASE 2: Private Spaces</t>
  </si>
  <si>
    <t>Municipal Drawings (Phase 1)</t>
  </si>
  <si>
    <t>Municipal Drawings (Phase 2)</t>
  </si>
  <si>
    <t>Phase 1: Totals</t>
  </si>
  <si>
    <t>Phase 2: Totals</t>
  </si>
  <si>
    <t>PHASE 1</t>
  </si>
  <si>
    <t>PHASE 2</t>
  </si>
  <si>
    <t>FULL PROJECT</t>
  </si>
  <si>
    <t>Deposit</t>
  </si>
  <si>
    <t>4.2 Tech drawings (Phase 1)</t>
  </si>
  <si>
    <t>4.2 Tech drawings (Phase 2)</t>
  </si>
  <si>
    <t>Interior Design</t>
  </si>
  <si>
    <t>Architecture</t>
  </si>
  <si>
    <t>Phase 1</t>
  </si>
  <si>
    <t>Phase 2</t>
  </si>
  <si>
    <t>Cornelia</t>
  </si>
  <si>
    <t xml:space="preserve">Total Professional Fees: </t>
  </si>
  <si>
    <t>Phase 1: DESIGN</t>
  </si>
  <si>
    <t>: Design</t>
  </si>
  <si>
    <t>: Measure and Draw</t>
  </si>
  <si>
    <t>: Municipal</t>
  </si>
  <si>
    <t>PHASES per m²</t>
  </si>
  <si>
    <t>PHASES hrly</t>
  </si>
  <si>
    <t>Interior Design.</t>
  </si>
  <si>
    <t>per m² rate</t>
  </si>
  <si>
    <t xml:space="preserve"> </t>
  </si>
  <si>
    <t xml:space="preserve">PHASE 1: Architectural </t>
  </si>
  <si>
    <t>Site Visits</t>
  </si>
  <si>
    <t>Travel Distance</t>
  </si>
  <si>
    <t>Rate</t>
  </si>
  <si>
    <t>km</t>
  </si>
  <si>
    <t>Site visits allowed</t>
  </si>
  <si>
    <t xml:space="preserve">Municipal Drawings </t>
  </si>
  <si>
    <t>Admin &amp; Submission</t>
  </si>
  <si>
    <t>Sub Total</t>
  </si>
  <si>
    <t>Measure and Draw Existing</t>
  </si>
  <si>
    <t>Phase 2: Municipal and Technical Drawings</t>
  </si>
  <si>
    <t>2d &amp; 3d</t>
  </si>
  <si>
    <t>VW Uithenhage</t>
  </si>
  <si>
    <t>Time out of office</t>
  </si>
  <si>
    <t>Rate x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</si>
</sst>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3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  <font>
      <sz val="12"/>
      <color theme="0" tint="-0.34998626667073579"/>
      <name val="Century Gothic"/>
      <family val="2"/>
    </font>
    <font>
      <sz val="12"/>
      <color theme="0" tint="-0.249977111117893"/>
      <name val="Century Gothic"/>
      <family val="2"/>
    </font>
    <font>
      <sz val="9"/>
      <color theme="0" tint="-0.249977111117893"/>
      <name val="Century Gothic"/>
      <family val="2"/>
    </font>
    <font>
      <b/>
      <sz val="1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51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164" fontId="8" fillId="4" borderId="13" xfId="0" applyNumberFormat="1" applyFont="1" applyFill="1" applyBorder="1" applyAlignment="1">
      <alignment horizontal="center" vertic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164" fontId="4" fillId="0" borderId="72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9" fontId="3" fillId="0" borderId="14" xfId="0" applyNumberFormat="1" applyFont="1" applyBorder="1"/>
    <xf numFmtId="9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0" fontId="4" fillId="0" borderId="87" xfId="0" applyFont="1" applyBorder="1"/>
    <xf numFmtId="164" fontId="4" fillId="0" borderId="88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4" fillId="0" borderId="77" xfId="0" applyFont="1" applyBorder="1" applyAlignment="1">
      <alignment horizontal="left"/>
    </xf>
    <xf numFmtId="0" fontId="4" fillId="0" borderId="72" xfId="0" applyFont="1" applyBorder="1" applyAlignment="1">
      <alignment horizontal="left"/>
    </xf>
    <xf numFmtId="0" fontId="4" fillId="0" borderId="76" xfId="0" applyFont="1" applyBorder="1"/>
    <xf numFmtId="2" fontId="16" fillId="12" borderId="15" xfId="0" applyNumberFormat="1" applyFont="1" applyFill="1" applyBorder="1" applyAlignment="1">
      <alignment horizontal="right"/>
    </xf>
    <xf numFmtId="0" fontId="8" fillId="0" borderId="14" xfId="0" applyFont="1" applyBorder="1"/>
    <xf numFmtId="2" fontId="18" fillId="12" borderId="54" xfId="0" applyNumberFormat="1" applyFont="1" applyFill="1" applyBorder="1" applyAlignment="1">
      <alignment horizontal="right"/>
    </xf>
    <xf numFmtId="0" fontId="26" fillId="0" borderId="91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164" fontId="4" fillId="6" borderId="21" xfId="0" applyNumberFormat="1" applyFont="1" applyFill="1" applyBorder="1" applyAlignment="1">
      <alignment horizontal="right"/>
    </xf>
    <xf numFmtId="164" fontId="9" fillId="0" borderId="47" xfId="0" applyNumberFormat="1" applyFont="1" applyBorder="1" applyAlignment="1">
      <alignment horizontal="center"/>
    </xf>
    <xf numFmtId="164" fontId="9" fillId="0" borderId="78" xfId="0" applyNumberFormat="1" applyFont="1" applyBorder="1" applyAlignment="1">
      <alignment horizontal="center" vertical="center"/>
    </xf>
    <xf numFmtId="164" fontId="4" fillId="5" borderId="81" xfId="0" applyNumberFormat="1" applyFont="1" applyFill="1" applyBorder="1" applyAlignment="1">
      <alignment horizontal="center"/>
    </xf>
    <xf numFmtId="164" fontId="4" fillId="5" borderId="46" xfId="0" applyNumberFormat="1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3" fillId="0" borderId="79" xfId="0" applyFont="1" applyBorder="1"/>
    <xf numFmtId="164" fontId="3" fillId="0" borderId="80" xfId="0" applyNumberFormat="1" applyFont="1" applyBorder="1"/>
    <xf numFmtId="0" fontId="3" fillId="0" borderId="92" xfId="0" applyFont="1" applyBorder="1"/>
    <xf numFmtId="164" fontId="3" fillId="0" borderId="93" xfId="0" applyNumberFormat="1" applyFont="1" applyBorder="1"/>
    <xf numFmtId="0" fontId="5" fillId="6" borderId="0" xfId="0" applyFont="1" applyFill="1" applyAlignment="1">
      <alignment vertical="center"/>
    </xf>
    <xf numFmtId="0" fontId="22" fillId="0" borderId="47" xfId="0" applyFont="1" applyBorder="1"/>
    <xf numFmtId="44" fontId="22" fillId="0" borderId="78" xfId="0" applyNumberFormat="1" applyFont="1" applyBorder="1"/>
    <xf numFmtId="0" fontId="22" fillId="0" borderId="3" xfId="0" applyFont="1" applyBorder="1"/>
    <xf numFmtId="44" fontId="22" fillId="0" borderId="5" xfId="0" applyNumberFormat="1" applyFont="1" applyBorder="1"/>
    <xf numFmtId="164" fontId="3" fillId="0" borderId="81" xfId="0" applyNumberFormat="1" applyFont="1" applyBorder="1"/>
    <xf numFmtId="164" fontId="3" fillId="0" borderId="46" xfId="0" applyNumberFormat="1" applyFont="1" applyBorder="1"/>
    <xf numFmtId="0" fontId="3" fillId="0" borderId="47" xfId="0" applyFont="1" applyBorder="1"/>
    <xf numFmtId="9" fontId="3" fillId="0" borderId="48" xfId="0" applyNumberFormat="1" applyFont="1" applyBorder="1"/>
    <xf numFmtId="164" fontId="3" fillId="0" borderId="78" xfId="0" applyNumberFormat="1" applyFont="1" applyBorder="1"/>
    <xf numFmtId="0" fontId="3" fillId="0" borderId="81" xfId="0" applyFont="1" applyBorder="1"/>
    <xf numFmtId="9" fontId="3" fillId="0" borderId="82" xfId="0" applyNumberFormat="1" applyFont="1" applyBorder="1"/>
    <xf numFmtId="9" fontId="3" fillId="0" borderId="84" xfId="0" applyNumberFormat="1" applyFont="1" applyBorder="1" applyAlignment="1">
      <alignment horizontal="center"/>
    </xf>
    <xf numFmtId="164" fontId="3" fillId="0" borderId="93" xfId="0" applyNumberFormat="1" applyFont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27" fillId="6" borderId="0" xfId="0" applyFont="1" applyFill="1"/>
    <xf numFmtId="164" fontId="27" fillId="6" borderId="0" xfId="0" applyNumberFormat="1" applyFont="1" applyFill="1"/>
    <xf numFmtId="164" fontId="27" fillId="6" borderId="0" xfId="0" applyNumberFormat="1" applyFont="1" applyFill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164" fontId="27" fillId="0" borderId="0" xfId="0" applyNumberFormat="1" applyFont="1"/>
    <xf numFmtId="164" fontId="4" fillId="0" borderId="0" xfId="0" applyNumberFormat="1" applyFont="1" applyAlignment="1">
      <alignment horizontal="left"/>
    </xf>
    <xf numFmtId="0" fontId="4" fillId="6" borderId="2" xfId="0" applyFont="1" applyFill="1" applyBorder="1"/>
    <xf numFmtId="0" fontId="8" fillId="0" borderId="0" xfId="0" applyFont="1"/>
    <xf numFmtId="9" fontId="8" fillId="0" borderId="0" xfId="3" applyFont="1" applyFill="1" applyBorder="1" applyAlignment="1">
      <alignment horizontal="left"/>
    </xf>
    <xf numFmtId="9" fontId="8" fillId="0" borderId="0" xfId="3" applyFont="1" applyFill="1" applyBorder="1" applyAlignment="1">
      <alignment horizontal="center"/>
    </xf>
    <xf numFmtId="9" fontId="4" fillId="0" borderId="0" xfId="3" applyFont="1" applyFill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2" fontId="4" fillId="12" borderId="64" xfId="0" applyNumberFormat="1" applyFont="1" applyFill="1" applyBorder="1" applyAlignment="1">
      <alignment horizontal="right"/>
    </xf>
    <xf numFmtId="164" fontId="4" fillId="0" borderId="38" xfId="0" applyNumberFormat="1" applyFont="1" applyBorder="1" applyAlignment="1">
      <alignment horizontal="left" vertical="center"/>
    </xf>
    <xf numFmtId="164" fontId="8" fillId="0" borderId="38" xfId="0" applyNumberFormat="1" applyFont="1" applyBorder="1" applyAlignment="1">
      <alignment horizontal="center"/>
    </xf>
    <xf numFmtId="164" fontId="4" fillId="0" borderId="24" xfId="0" applyNumberFormat="1" applyFont="1" applyBorder="1"/>
    <xf numFmtId="0" fontId="8" fillId="0" borderId="54" xfId="0" applyFont="1" applyBorder="1" applyAlignment="1">
      <alignment horizontal="center"/>
    </xf>
    <xf numFmtId="2" fontId="4" fillId="12" borderId="54" xfId="0" applyNumberFormat="1" applyFont="1" applyFill="1" applyBorder="1" applyAlignment="1">
      <alignment horizontal="right"/>
    </xf>
    <xf numFmtId="0" fontId="4" fillId="0" borderId="86" xfId="0" applyFont="1" applyBorder="1"/>
    <xf numFmtId="164" fontId="4" fillId="0" borderId="86" xfId="0" applyNumberFormat="1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2" fontId="4" fillId="12" borderId="88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8" fillId="10" borderId="12" xfId="0" applyFont="1" applyFill="1" applyBorder="1" applyAlignment="1">
      <alignment horizontal="left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12" xfId="0" applyNumberFormat="1" applyFont="1" applyFill="1" applyBorder="1" applyAlignment="1">
      <alignment horizontal="center"/>
    </xf>
    <xf numFmtId="164" fontId="8" fillId="6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29" fillId="0" borderId="52" xfId="0" applyFont="1" applyBorder="1" applyAlignment="1">
      <alignment horizontal="left" vertical="center" textRotation="90" wrapText="1"/>
    </xf>
    <xf numFmtId="0" fontId="29" fillId="0" borderId="56" xfId="0" applyFont="1" applyBorder="1" applyAlignment="1">
      <alignment horizontal="left" vertical="center" textRotation="90" wrapText="1"/>
    </xf>
    <xf numFmtId="0" fontId="29" fillId="0" borderId="35" xfId="0" applyFont="1" applyBorder="1" applyAlignment="1">
      <alignment horizontal="left" vertical="center" textRotation="90" wrapText="1"/>
    </xf>
    <xf numFmtId="0" fontId="14" fillId="0" borderId="45" xfId="0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164" fontId="2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4" fillId="0" borderId="7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28" fillId="6" borderId="0" xfId="0" applyNumberFormat="1" applyFont="1" applyFill="1" applyAlignment="1">
      <alignment horizontal="center" vertical="center" wrapText="1"/>
    </xf>
    <xf numFmtId="164" fontId="27" fillId="6" borderId="0" xfId="0" applyNumberFormat="1" applyFont="1" applyFill="1" applyAlignment="1">
      <alignment horizontal="center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164" fontId="8" fillId="6" borderId="20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9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4" fillId="0" borderId="16" xfId="0" applyFont="1" applyBorder="1" applyAlignment="1">
      <alignment horizontal="center"/>
    </xf>
    <xf numFmtId="164" fontId="24" fillId="0" borderId="0" xfId="0" applyNumberFormat="1" applyFont="1" applyAlignment="1">
      <alignment horizontal="center" vertical="center" wrapText="1"/>
    </xf>
    <xf numFmtId="164" fontId="27" fillId="0" borderId="0" xfId="0" applyNumberFormat="1" applyFont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73" xfId="0" applyNumberFormat="1" applyFont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24" fillId="0" borderId="88" xfId="0" applyFont="1" applyBorder="1" applyAlignment="1">
      <alignment horizontal="center" wrapText="1"/>
    </xf>
    <xf numFmtId="0" fontId="4" fillId="0" borderId="60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90" xfId="0" applyNumberFormat="1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164" fontId="4" fillId="0" borderId="38" xfId="0" applyNumberFormat="1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0" fontId="4" fillId="6" borderId="0" xfId="0" applyFont="1" applyFill="1" applyBorder="1" applyAlignment="1">
      <alignment horizontal="left" vertical="center"/>
    </xf>
    <xf numFmtId="164" fontId="8" fillId="4" borderId="0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workbookViewId="0">
      <selection activeCell="L19" sqref="L19:O1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21.42578125" style="1" bestFit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316"/>
      <c r="B1" s="316"/>
      <c r="C1" s="316"/>
      <c r="D1" s="316"/>
      <c r="E1" s="316"/>
      <c r="F1" s="316"/>
      <c r="G1" s="316"/>
      <c r="H1" s="316"/>
      <c r="I1" s="316"/>
      <c r="J1" s="316"/>
      <c r="K1" s="316"/>
    </row>
    <row r="2" spans="1:13" x14ac:dyDescent="0.3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</row>
    <row r="3" spans="1:13" x14ac:dyDescent="0.3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</row>
    <row r="4" spans="1:13" x14ac:dyDescent="0.3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</row>
    <row r="5" spans="1:13" x14ac:dyDescent="0.3">
      <c r="A5" s="316"/>
      <c r="B5" s="316"/>
      <c r="C5" s="316"/>
      <c r="D5" s="316"/>
      <c r="E5" s="316"/>
      <c r="F5" s="316"/>
      <c r="G5" s="316"/>
      <c r="H5" s="316"/>
      <c r="I5" s="316"/>
      <c r="J5" s="316"/>
      <c r="K5" s="316"/>
    </row>
    <row r="6" spans="1:13" x14ac:dyDescent="0.3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</row>
    <row r="7" spans="1:13" x14ac:dyDescent="0.3">
      <c r="A7" s="316"/>
      <c r="B7" s="316"/>
      <c r="C7" s="316"/>
      <c r="D7" s="316"/>
      <c r="E7" s="316"/>
      <c r="F7" s="316"/>
      <c r="G7" s="316"/>
      <c r="H7" s="316"/>
      <c r="I7" s="316"/>
      <c r="J7" s="316"/>
      <c r="K7" s="316"/>
    </row>
    <row r="8" spans="1:13" x14ac:dyDescent="0.3">
      <c r="A8" s="316"/>
      <c r="B8" s="316"/>
      <c r="C8" s="316"/>
      <c r="D8" s="316"/>
      <c r="E8" s="316"/>
      <c r="F8" s="316"/>
      <c r="G8" s="316"/>
      <c r="H8" s="316"/>
      <c r="I8" s="316"/>
      <c r="J8" s="316"/>
      <c r="K8" s="316"/>
    </row>
    <row r="9" spans="1:13" x14ac:dyDescent="0.3">
      <c r="A9" s="316"/>
      <c r="B9" s="316"/>
      <c r="C9" s="316"/>
      <c r="D9" s="316"/>
      <c r="E9" s="316"/>
      <c r="F9" s="316"/>
      <c r="G9" s="316"/>
      <c r="H9" s="316"/>
      <c r="I9" s="316"/>
      <c r="J9" s="316"/>
      <c r="K9" s="316"/>
    </row>
    <row r="10" spans="1:13" x14ac:dyDescent="0.3">
      <c r="A10" s="316"/>
      <c r="B10" s="316"/>
      <c r="C10" s="316"/>
      <c r="D10" s="316"/>
      <c r="E10" s="316"/>
      <c r="F10" s="316"/>
      <c r="G10" s="316"/>
      <c r="H10" s="316"/>
      <c r="I10" s="316"/>
      <c r="J10" s="316"/>
      <c r="K10" s="316"/>
    </row>
    <row r="11" spans="1:13" ht="21" thickBot="1" x14ac:dyDescent="0.35">
      <c r="A11" s="314" t="s">
        <v>8</v>
      </c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M11" s="8"/>
    </row>
    <row r="12" spans="1:13" ht="18.75" customHeight="1" thickBot="1" x14ac:dyDescent="0.35">
      <c r="A12" s="164" t="s">
        <v>136</v>
      </c>
      <c r="B12" s="321" t="s">
        <v>1</v>
      </c>
      <c r="C12" s="321"/>
      <c r="D12" s="163" t="s">
        <v>0</v>
      </c>
      <c r="E12" s="332" t="s">
        <v>2</v>
      </c>
      <c r="F12" s="332"/>
      <c r="G12" s="332"/>
      <c r="H12" s="331" t="s">
        <v>12</v>
      </c>
      <c r="I12" s="331"/>
      <c r="J12" s="317" t="s">
        <v>5</v>
      </c>
      <c r="K12" s="318"/>
    </row>
    <row r="13" spans="1:13" x14ac:dyDescent="0.3">
      <c r="A13" s="5">
        <v>1</v>
      </c>
      <c r="B13" s="325" t="s">
        <v>6</v>
      </c>
      <c r="C13" s="325"/>
      <c r="D13" s="1" t="s">
        <v>3</v>
      </c>
      <c r="E13" s="6"/>
      <c r="F13" s="320">
        <v>40870</v>
      </c>
      <c r="G13" s="320"/>
      <c r="H13" s="7">
        <v>0.15</v>
      </c>
      <c r="I13" s="6">
        <f>F13*H13</f>
        <v>6130.5</v>
      </c>
      <c r="J13" s="319">
        <f>F13+I13</f>
        <v>47000.5</v>
      </c>
      <c r="K13" s="319"/>
      <c r="M13" s="6"/>
    </row>
    <row r="14" spans="1:13" x14ac:dyDescent="0.3">
      <c r="A14" s="5">
        <v>2</v>
      </c>
      <c r="B14" s="322" t="s">
        <v>7</v>
      </c>
      <c r="C14" s="322"/>
      <c r="D14" s="1" t="s">
        <v>3</v>
      </c>
      <c r="F14" s="323">
        <v>38000</v>
      </c>
      <c r="G14" s="323"/>
      <c r="H14" s="7">
        <v>0.15</v>
      </c>
      <c r="I14" s="6">
        <f>F14*H14</f>
        <v>5700</v>
      </c>
      <c r="J14" s="320">
        <f>F14+I14</f>
        <v>43700</v>
      </c>
      <c r="K14" s="320"/>
    </row>
    <row r="15" spans="1:13" x14ac:dyDescent="0.3">
      <c r="A15" s="5">
        <v>3</v>
      </c>
      <c r="B15" s="329" t="s">
        <v>145</v>
      </c>
      <c r="C15" s="329"/>
      <c r="D15" s="1" t="s">
        <v>144</v>
      </c>
      <c r="F15" s="323">
        <v>24000</v>
      </c>
      <c r="G15" s="323"/>
      <c r="H15" s="7">
        <v>0.15</v>
      </c>
      <c r="I15" s="6">
        <f>F15*H15</f>
        <v>3600</v>
      </c>
      <c r="J15" s="320">
        <f>F15+I15</f>
        <v>27600</v>
      </c>
      <c r="K15" s="320"/>
      <c r="L15" s="1" t="s">
        <v>146</v>
      </c>
    </row>
    <row r="16" spans="1:13" x14ac:dyDescent="0.3">
      <c r="A16" s="5"/>
    </row>
    <row r="17" spans="1:17" ht="21" thickBot="1" x14ac:dyDescent="0.35">
      <c r="A17" s="327" t="s">
        <v>9</v>
      </c>
      <c r="B17" s="327"/>
      <c r="C17" s="327"/>
      <c r="D17" s="327"/>
      <c r="E17" s="327"/>
      <c r="F17" s="327"/>
      <c r="G17" s="327"/>
      <c r="H17" s="327"/>
      <c r="I17" s="327"/>
      <c r="J17" s="327"/>
      <c r="K17" s="327"/>
    </row>
    <row r="18" spans="1:17" ht="18" thickBot="1" x14ac:dyDescent="0.35">
      <c r="A18" s="152" t="s">
        <v>136</v>
      </c>
      <c r="B18" s="324" t="s">
        <v>10</v>
      </c>
      <c r="C18" s="324"/>
      <c r="D18" s="326" t="s">
        <v>13</v>
      </c>
      <c r="E18" s="326"/>
      <c r="F18" s="324" t="s">
        <v>11</v>
      </c>
      <c r="G18" s="324"/>
      <c r="H18" s="165" t="s">
        <v>137</v>
      </c>
      <c r="I18" s="166" t="s">
        <v>98</v>
      </c>
      <c r="J18" s="328" t="s">
        <v>14</v>
      </c>
      <c r="K18" s="328"/>
      <c r="L18" s="186" t="s">
        <v>99</v>
      </c>
      <c r="M18" s="183"/>
      <c r="N18" s="184"/>
      <c r="O18" s="185"/>
    </row>
    <row r="19" spans="1:17" x14ac:dyDescent="0.3">
      <c r="A19" s="5">
        <v>1</v>
      </c>
      <c r="B19" s="322">
        <v>21</v>
      </c>
      <c r="C19" s="322"/>
      <c r="D19" s="333">
        <f>J13/B19</f>
        <v>2238.1190476190477</v>
      </c>
      <c r="E19" s="333"/>
      <c r="F19" s="322">
        <v>8</v>
      </c>
      <c r="G19" s="322"/>
      <c r="H19" s="127">
        <f>D19/F19</f>
        <v>279.76488095238096</v>
      </c>
      <c r="I19" s="2">
        <v>2.4</v>
      </c>
      <c r="J19" s="334">
        <f>ROUNDUP(H19*I19,-0.5)</f>
        <v>672</v>
      </c>
      <c r="K19" s="334"/>
      <c r="L19" s="330">
        <f>J19*F19</f>
        <v>5376</v>
      </c>
      <c r="M19" s="330"/>
      <c r="N19" s="330"/>
      <c r="O19" s="330"/>
      <c r="P19" s="1" t="s">
        <v>190</v>
      </c>
      <c r="Q19" s="1" t="s">
        <v>192</v>
      </c>
    </row>
    <row r="20" spans="1:17" x14ac:dyDescent="0.3">
      <c r="A20" s="5">
        <v>2</v>
      </c>
      <c r="B20" s="322">
        <v>21</v>
      </c>
      <c r="C20" s="322"/>
      <c r="D20" s="333">
        <f>J14/B20</f>
        <v>2080.9523809523807</v>
      </c>
      <c r="E20" s="333"/>
      <c r="F20" s="322">
        <v>8</v>
      </c>
      <c r="G20" s="322"/>
      <c r="H20" s="127">
        <f>D20/F20</f>
        <v>260.11904761904759</v>
      </c>
      <c r="I20" s="2">
        <v>2.4</v>
      </c>
      <c r="J20" s="334">
        <f>ROUNDUP(H20*I20,-0.5)</f>
        <v>625</v>
      </c>
      <c r="K20" s="334"/>
      <c r="L20" s="330">
        <f>J20*F20</f>
        <v>5000</v>
      </c>
      <c r="M20" s="330"/>
      <c r="N20" s="330"/>
      <c r="O20" s="330"/>
      <c r="P20" s="1" t="s">
        <v>191</v>
      </c>
    </row>
    <row r="21" spans="1:17" x14ac:dyDescent="0.3">
      <c r="A21" s="5">
        <v>3</v>
      </c>
      <c r="B21" s="329">
        <v>21</v>
      </c>
      <c r="C21" s="329"/>
      <c r="D21" s="335">
        <f>J15/B21</f>
        <v>1314.2857142857142</v>
      </c>
      <c r="E21" s="329"/>
      <c r="F21" s="322">
        <v>8</v>
      </c>
      <c r="G21" s="322"/>
      <c r="H21" s="127">
        <f>D21/F21</f>
        <v>164.28571428571428</v>
      </c>
      <c r="I21" s="1">
        <v>2.4</v>
      </c>
      <c r="J21" s="334">
        <f>ROUNDUP(H21*I21,-0.5)</f>
        <v>395</v>
      </c>
      <c r="K21" s="334"/>
      <c r="L21" s="330">
        <f>J21*F21</f>
        <v>3160</v>
      </c>
      <c r="M21" s="330"/>
      <c r="N21" s="330"/>
      <c r="O21" s="330"/>
      <c r="P21" s="1" t="str">
        <f>B15</f>
        <v>Johan Hugo</v>
      </c>
      <c r="Q21" s="1" t="s">
        <v>147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B21:C21"/>
    <mergeCell ref="D21:E21"/>
    <mergeCell ref="F21:G21"/>
    <mergeCell ref="J21:K21"/>
    <mergeCell ref="B20:C20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A11:K11"/>
    <mergeCell ref="A1:K10"/>
    <mergeCell ref="J12:K12"/>
    <mergeCell ref="J13:K13"/>
    <mergeCell ref="J14:K14"/>
    <mergeCell ref="B12:C12"/>
    <mergeCell ref="B14:C14"/>
    <mergeCell ref="F14:G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191" t="s">
        <v>142</v>
      </c>
      <c r="B2" s="336" t="s">
        <v>148</v>
      </c>
      <c r="C2" s="336"/>
      <c r="D2" s="336"/>
      <c r="E2" s="336"/>
      <c r="F2" s="336"/>
      <c r="G2" s="189"/>
      <c r="H2" s="189"/>
      <c r="I2" s="159"/>
      <c r="J2" s="159"/>
      <c r="K2" s="159"/>
      <c r="L2" s="189"/>
      <c r="M2" s="190"/>
    </row>
    <row r="3" spans="1:19" ht="18" thickBot="1" x14ac:dyDescent="0.35">
      <c r="A3" s="187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37" t="s">
        <v>138</v>
      </c>
      <c r="B4" s="338"/>
      <c r="C4" s="338"/>
      <c r="D4" s="345" t="s">
        <v>128</v>
      </c>
      <c r="E4" s="345"/>
      <c r="F4" s="344" t="s">
        <v>124</v>
      </c>
      <c r="G4" s="344"/>
      <c r="H4" s="344"/>
      <c r="I4" s="344" t="s">
        <v>127</v>
      </c>
      <c r="J4" s="344"/>
      <c r="K4" s="341" t="s">
        <v>125</v>
      </c>
      <c r="L4" s="342"/>
      <c r="M4" s="343"/>
    </row>
    <row r="5" spans="1:19" ht="17.25" x14ac:dyDescent="0.3">
      <c r="A5" s="339">
        <v>0</v>
      </c>
      <c r="B5" s="340"/>
      <c r="C5" s="340"/>
      <c r="D5" s="335">
        <f>A5*0.05</f>
        <v>0</v>
      </c>
      <c r="E5" s="335"/>
      <c r="F5" s="335">
        <f>A5-D5</f>
        <v>0</v>
      </c>
      <c r="G5" s="335"/>
      <c r="H5" s="335"/>
      <c r="I5" s="340">
        <f>F5-K5</f>
        <v>0</v>
      </c>
      <c r="J5" s="340"/>
      <c r="K5" s="346">
        <f>F5/2.4</f>
        <v>0</v>
      </c>
      <c r="L5" s="346"/>
      <c r="M5" s="347"/>
    </row>
    <row r="6" spans="1:19" ht="18" thickBot="1" x14ac:dyDescent="0.35">
      <c r="A6" s="187"/>
      <c r="E6" s="161"/>
      <c r="G6" s="1"/>
      <c r="H6" s="1"/>
      <c r="L6" s="1"/>
      <c r="M6" s="20"/>
    </row>
    <row r="7" spans="1:19" ht="18" thickBot="1" x14ac:dyDescent="0.35">
      <c r="A7" s="337" t="s">
        <v>128</v>
      </c>
      <c r="B7" s="338"/>
      <c r="C7" s="338"/>
      <c r="D7" s="349">
        <f>D5</f>
        <v>0</v>
      </c>
      <c r="E7" s="350"/>
      <c r="H7" s="1"/>
      <c r="I7" s="1"/>
      <c r="J7" s="1"/>
      <c r="K7" s="1"/>
      <c r="L7" s="1"/>
      <c r="M7" s="20"/>
    </row>
    <row r="8" spans="1:19" ht="18" thickBot="1" x14ac:dyDescent="0.35">
      <c r="A8" s="337" t="s">
        <v>126</v>
      </c>
      <c r="B8" s="338"/>
      <c r="C8" s="338"/>
      <c r="D8" s="349">
        <f>I5*0.15</f>
        <v>0</v>
      </c>
      <c r="E8" s="350"/>
      <c r="I8" s="1"/>
      <c r="J8" s="1"/>
      <c r="K8" s="1"/>
      <c r="L8" s="1"/>
      <c r="M8" s="20"/>
    </row>
    <row r="9" spans="1:19" ht="18" thickBot="1" x14ac:dyDescent="0.35">
      <c r="A9" s="348" t="s">
        <v>141</v>
      </c>
      <c r="B9" s="342"/>
      <c r="C9" s="342"/>
      <c r="D9" s="349">
        <f>I5-D8</f>
        <v>0</v>
      </c>
      <c r="E9" s="350"/>
      <c r="F9" s="192"/>
      <c r="G9" s="192"/>
      <c r="H9" s="192"/>
      <c r="I9" s="21"/>
      <c r="J9" s="21"/>
      <c r="K9" s="21"/>
      <c r="L9" s="21"/>
      <c r="M9" s="188"/>
    </row>
    <row r="11" spans="1:19" ht="15.75" x14ac:dyDescent="0.25">
      <c r="A11" s="193"/>
      <c r="B11" s="194"/>
      <c r="C11" s="194"/>
      <c r="D11" s="194"/>
      <c r="E11" s="194"/>
      <c r="F11" s="194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195"/>
      <c r="B13" s="195"/>
      <c r="C13" s="195"/>
      <c r="D13" s="195"/>
      <c r="E13" s="195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198"/>
      <c r="B14" s="198"/>
      <c r="C14" s="198"/>
      <c r="D14" s="203"/>
      <c r="E14" s="203"/>
      <c r="F14" s="203"/>
      <c r="G14" s="203"/>
      <c r="H14" s="203"/>
      <c r="I14" s="203"/>
      <c r="J14" s="198"/>
      <c r="K14" s="198"/>
      <c r="L14" s="198"/>
      <c r="M14" s="198"/>
    </row>
    <row r="15" spans="1:19" ht="16.5" x14ac:dyDescent="0.3">
      <c r="A15" s="177"/>
      <c r="B15" s="177"/>
      <c r="C15" s="177"/>
      <c r="D15" s="203"/>
      <c r="E15" s="203"/>
      <c r="F15" s="203"/>
      <c r="G15" s="203"/>
      <c r="H15" s="203"/>
      <c r="I15" s="203"/>
      <c r="J15" s="177"/>
      <c r="K15" s="177"/>
      <c r="L15" s="177"/>
      <c r="M15" s="177"/>
      <c r="N15" s="177"/>
      <c r="O15" s="177"/>
      <c r="P15" s="177"/>
      <c r="Q15" s="177"/>
      <c r="R15" s="177"/>
      <c r="S15" s="177"/>
    </row>
    <row r="16" spans="1:19" ht="16.5" x14ac:dyDescent="0.3">
      <c r="A16" s="199"/>
      <c r="B16" s="199"/>
      <c r="C16" s="199"/>
      <c r="D16" s="203"/>
      <c r="E16" s="203"/>
      <c r="F16" s="203"/>
      <c r="G16" s="203"/>
      <c r="H16" s="203"/>
      <c r="I16" s="203"/>
      <c r="J16" s="177"/>
      <c r="K16" s="177"/>
      <c r="L16" s="177"/>
      <c r="M16" s="177"/>
      <c r="N16" s="177"/>
      <c r="O16" s="177"/>
      <c r="P16" s="177"/>
      <c r="Q16" s="177"/>
      <c r="R16" s="177"/>
      <c r="S16" s="177"/>
    </row>
    <row r="17" spans="1:19" ht="16.5" x14ac:dyDescent="0.3">
      <c r="A17" s="199"/>
      <c r="B17" s="199"/>
      <c r="C17" s="199"/>
      <c r="D17" s="203"/>
      <c r="E17" s="203"/>
      <c r="F17" s="203"/>
      <c r="G17" s="203"/>
      <c r="H17" s="203"/>
      <c r="I17" s="203"/>
      <c r="J17" s="177"/>
      <c r="K17" s="177"/>
      <c r="L17" s="177"/>
      <c r="M17" s="177"/>
      <c r="N17" s="177"/>
      <c r="O17" s="177"/>
      <c r="P17" s="177"/>
      <c r="Q17" s="177"/>
      <c r="R17" s="177"/>
      <c r="S17" s="177"/>
    </row>
    <row r="18" spans="1:19" ht="16.5" x14ac:dyDescent="0.3">
      <c r="A18" s="177"/>
      <c r="B18" s="177"/>
      <c r="C18" s="177"/>
      <c r="D18" s="203"/>
      <c r="E18" s="203"/>
      <c r="F18" s="203"/>
      <c r="G18" s="203"/>
      <c r="H18" s="203"/>
      <c r="I18" s="203"/>
      <c r="J18" s="177"/>
      <c r="K18" s="177"/>
      <c r="L18" s="177"/>
      <c r="M18" s="177"/>
      <c r="N18" s="177"/>
      <c r="O18" s="177"/>
      <c r="P18" s="177"/>
      <c r="Q18" s="177"/>
      <c r="R18" s="177"/>
      <c r="S18" s="177"/>
    </row>
    <row r="19" spans="1:19" ht="16.5" x14ac:dyDescent="0.3">
      <c r="A19" s="177"/>
      <c r="B19" s="177"/>
      <c r="C19" s="177"/>
      <c r="D19" s="203"/>
      <c r="E19" s="203"/>
      <c r="F19" s="203"/>
      <c r="G19" s="203"/>
      <c r="H19" s="203"/>
      <c r="I19" s="203"/>
      <c r="J19" s="177"/>
      <c r="K19" s="177"/>
      <c r="L19" s="177"/>
      <c r="M19" s="177"/>
      <c r="N19" s="177"/>
      <c r="O19" s="177"/>
      <c r="P19" s="177"/>
      <c r="Q19" s="177"/>
      <c r="R19" s="177"/>
      <c r="S19" s="177"/>
    </row>
    <row r="20" spans="1:19" ht="16.5" x14ac:dyDescent="0.3">
      <c r="A20" s="177"/>
      <c r="B20" s="177"/>
      <c r="C20" s="177"/>
      <c r="D20" s="203"/>
      <c r="E20" s="203"/>
      <c r="F20" s="203"/>
      <c r="G20" s="203"/>
      <c r="H20" s="203"/>
      <c r="I20" s="203"/>
      <c r="J20" s="196"/>
      <c r="K20" s="177"/>
      <c r="L20" s="177"/>
      <c r="M20" s="177"/>
      <c r="N20" s="177"/>
      <c r="O20" s="177"/>
      <c r="P20" s="177"/>
      <c r="Q20" s="177"/>
      <c r="R20" s="177"/>
      <c r="S20" s="177"/>
    </row>
    <row r="21" spans="1:19" ht="16.5" x14ac:dyDescent="0.3">
      <c r="A21" s="200"/>
      <c r="B21" s="200"/>
      <c r="C21" s="200"/>
      <c r="D21" s="203"/>
      <c r="E21" s="203"/>
      <c r="F21" s="203"/>
      <c r="G21" s="203"/>
      <c r="H21" s="203"/>
      <c r="I21" s="203"/>
      <c r="J21" s="196"/>
      <c r="K21" s="201"/>
      <c r="L21" s="201"/>
      <c r="M21" s="201"/>
      <c r="N21" s="177"/>
      <c r="O21" s="177"/>
      <c r="P21" s="177"/>
      <c r="Q21" s="177"/>
      <c r="R21" s="177"/>
      <c r="S21" s="177"/>
    </row>
    <row r="22" spans="1:19" ht="16.5" x14ac:dyDescent="0.3">
      <c r="A22" s="200"/>
      <c r="B22" s="200"/>
      <c r="C22" s="200"/>
      <c r="D22" s="203"/>
      <c r="E22" s="203"/>
      <c r="F22" s="203"/>
      <c r="G22" s="203"/>
      <c r="H22" s="203"/>
      <c r="I22" s="203"/>
      <c r="J22" s="197"/>
      <c r="K22" s="201"/>
      <c r="L22" s="201"/>
      <c r="M22" s="201"/>
      <c r="N22" s="177"/>
      <c r="O22" s="177"/>
      <c r="P22" s="177"/>
      <c r="Q22" s="177"/>
      <c r="R22" s="177"/>
      <c r="S22" s="177"/>
    </row>
    <row r="23" spans="1:19" ht="16.5" x14ac:dyDescent="0.3">
      <c r="A23" s="177"/>
      <c r="B23" s="177"/>
      <c r="C23" s="177"/>
      <c r="D23" s="177"/>
      <c r="E23" s="196"/>
      <c r="F23" s="196"/>
      <c r="G23" s="177"/>
      <c r="H23" s="196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</row>
    <row r="24" spans="1:19" ht="16.5" x14ac:dyDescent="0.3">
      <c r="A24" s="177"/>
      <c r="B24" s="177"/>
      <c r="C24" s="177"/>
      <c r="D24" s="177"/>
      <c r="E24" s="196"/>
      <c r="F24" s="196"/>
      <c r="G24" s="177"/>
      <c r="H24" s="196"/>
      <c r="I24" s="200"/>
      <c r="J24" s="197"/>
      <c r="K24" s="201"/>
      <c r="L24" s="201"/>
      <c r="M24" s="201"/>
      <c r="N24" s="177"/>
      <c r="O24" s="177"/>
      <c r="P24" s="177"/>
      <c r="Q24" s="177"/>
      <c r="R24" s="177"/>
      <c r="S24" s="177"/>
    </row>
    <row r="25" spans="1:19" ht="16.5" x14ac:dyDescent="0.3">
      <c r="A25" s="177"/>
      <c r="B25" s="177"/>
      <c r="C25" s="177"/>
      <c r="D25" s="177"/>
      <c r="E25" s="177"/>
      <c r="F25" s="196"/>
      <c r="G25" s="177"/>
      <c r="H25" s="196"/>
      <c r="I25" s="200"/>
      <c r="J25" s="197"/>
      <c r="K25" s="201"/>
      <c r="L25" s="201"/>
      <c r="M25" s="201"/>
      <c r="N25" s="177"/>
      <c r="O25" s="177"/>
      <c r="P25" s="177"/>
      <c r="Q25" s="177"/>
      <c r="R25" s="177"/>
      <c r="S25" s="177"/>
    </row>
    <row r="26" spans="1:19" ht="16.5" x14ac:dyDescent="0.3">
      <c r="A26" s="177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</row>
    <row r="27" spans="1:19" ht="16.5" x14ac:dyDescent="0.3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</row>
    <row r="28" spans="1:19" ht="16.5" x14ac:dyDescent="0.3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98"/>
      <c r="S28" s="177"/>
    </row>
    <row r="29" spans="1:19" ht="16.5" x14ac:dyDescent="0.3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</row>
    <row r="30" spans="1:19" ht="16.5" x14ac:dyDescent="0.3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</row>
    <row r="31" spans="1:19" ht="16.5" x14ac:dyDescent="0.3">
      <c r="A31" s="177"/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</row>
    <row r="32" spans="1:19" ht="16.5" x14ac:dyDescent="0.3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</row>
    <row r="33" spans="1:19" ht="16.5" x14ac:dyDescent="0.3">
      <c r="A33" s="177"/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</row>
  </sheetData>
  <mergeCells count="17">
    <mergeCell ref="A9:C9"/>
    <mergeCell ref="D9:E9"/>
    <mergeCell ref="D5:E5"/>
    <mergeCell ref="F5:H5"/>
    <mergeCell ref="D8:E8"/>
    <mergeCell ref="A7:C7"/>
    <mergeCell ref="D7:E7"/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AA122"/>
  <sheetViews>
    <sheetView tabSelected="1" topLeftCell="A13" zoomScale="85" zoomScaleNormal="85" workbookViewId="0">
      <selection activeCell="H42" sqref="H42:I42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15.7109375" bestFit="1" customWidth="1"/>
    <col min="16" max="16" width="14.7109375" bestFit="1" customWidth="1"/>
  </cols>
  <sheetData>
    <row r="1" spans="1:14" ht="17.25" x14ac:dyDescent="0.3">
      <c r="A1" s="457"/>
      <c r="B1" s="457"/>
      <c r="C1" s="457"/>
      <c r="D1" s="457"/>
      <c r="E1" s="457"/>
      <c r="F1" s="457"/>
      <c r="G1" s="457"/>
      <c r="H1" s="457"/>
      <c r="I1" s="457"/>
      <c r="J1" s="105"/>
      <c r="K1" s="105"/>
      <c r="L1" s="1"/>
      <c r="M1" s="1"/>
      <c r="N1" s="1"/>
    </row>
    <row r="2" spans="1:14" ht="17.25" x14ac:dyDescent="0.3">
      <c r="A2" s="457"/>
      <c r="B2" s="457"/>
      <c r="C2" s="457"/>
      <c r="D2" s="457"/>
      <c r="E2" s="457"/>
      <c r="F2" s="457"/>
      <c r="G2" s="457"/>
      <c r="H2" s="457"/>
      <c r="I2" s="457"/>
      <c r="J2" s="1"/>
      <c r="K2" s="1"/>
      <c r="L2" s="1"/>
      <c r="M2" s="1"/>
      <c r="N2" s="1"/>
    </row>
    <row r="3" spans="1:14" ht="17.25" x14ac:dyDescent="0.3">
      <c r="A3" s="457"/>
      <c r="B3" s="457"/>
      <c r="C3" s="457"/>
      <c r="D3" s="457"/>
      <c r="E3" s="457"/>
      <c r="F3" s="457"/>
      <c r="G3" s="457"/>
      <c r="H3" s="457"/>
      <c r="I3" s="457"/>
      <c r="J3" s="1"/>
      <c r="K3" s="1"/>
      <c r="L3" s="1"/>
      <c r="M3" s="1"/>
      <c r="N3" s="1"/>
    </row>
    <row r="4" spans="1:14" ht="17.25" x14ac:dyDescent="0.3">
      <c r="A4" s="457"/>
      <c r="B4" s="457"/>
      <c r="C4" s="457"/>
      <c r="D4" s="457"/>
      <c r="E4" s="457"/>
      <c r="F4" s="457"/>
      <c r="G4" s="457"/>
      <c r="H4" s="457"/>
      <c r="I4" s="457"/>
      <c r="J4" s="2"/>
      <c r="K4" s="2"/>
      <c r="L4" s="1"/>
      <c r="M4" s="1"/>
      <c r="N4" s="1"/>
    </row>
    <row r="5" spans="1:14" ht="17.25" x14ac:dyDescent="0.3">
      <c r="A5" s="457"/>
      <c r="B5" s="457"/>
      <c r="C5" s="457"/>
      <c r="D5" s="457"/>
      <c r="E5" s="457"/>
      <c r="F5" s="457"/>
      <c r="G5" s="457"/>
      <c r="H5" s="457"/>
      <c r="I5" s="457"/>
      <c r="J5" s="2"/>
      <c r="K5" s="2"/>
      <c r="L5" s="1"/>
      <c r="M5" s="1"/>
      <c r="N5" s="1"/>
    </row>
    <row r="6" spans="1:14" ht="17.25" x14ac:dyDescent="0.3">
      <c r="A6" s="457"/>
      <c r="B6" s="457"/>
      <c r="C6" s="457"/>
      <c r="D6" s="457"/>
      <c r="E6" s="457"/>
      <c r="F6" s="457"/>
      <c r="G6" s="457"/>
      <c r="H6" s="457"/>
      <c r="I6" s="457"/>
      <c r="J6" s="2"/>
      <c r="K6" s="2"/>
      <c r="L6" s="1"/>
      <c r="M6" s="1"/>
      <c r="N6" s="1"/>
    </row>
    <row r="7" spans="1:14" ht="17.25" x14ac:dyDescent="0.3">
      <c r="A7" s="457"/>
      <c r="B7" s="457"/>
      <c r="C7" s="457"/>
      <c r="D7" s="457"/>
      <c r="E7" s="457"/>
      <c r="F7" s="457"/>
      <c r="G7" s="457"/>
      <c r="H7" s="457"/>
      <c r="I7" s="457"/>
      <c r="J7" s="2"/>
      <c r="K7" s="2"/>
      <c r="L7" s="1"/>
      <c r="M7" s="1"/>
      <c r="N7" s="1"/>
    </row>
    <row r="8" spans="1:14" ht="17.25" x14ac:dyDescent="0.3">
      <c r="A8" s="457"/>
      <c r="B8" s="457"/>
      <c r="C8" s="457"/>
      <c r="D8" s="457"/>
      <c r="E8" s="457"/>
      <c r="F8" s="457"/>
      <c r="G8" s="457"/>
      <c r="H8" s="457"/>
      <c r="I8" s="457"/>
      <c r="J8" s="1"/>
      <c r="K8" s="1"/>
      <c r="L8" s="1"/>
      <c r="M8" s="1"/>
      <c r="N8" s="1"/>
    </row>
    <row r="9" spans="1:14" ht="17.25" x14ac:dyDescent="0.3">
      <c r="A9" s="457"/>
      <c r="B9" s="457"/>
      <c r="C9" s="457"/>
      <c r="D9" s="457"/>
      <c r="E9" s="457"/>
      <c r="F9" s="457"/>
      <c r="G9" s="457"/>
      <c r="H9" s="457"/>
      <c r="I9" s="457"/>
      <c r="J9" s="2"/>
      <c r="K9" s="2"/>
      <c r="L9" s="1"/>
      <c r="M9" s="1"/>
      <c r="N9" s="1"/>
    </row>
    <row r="10" spans="1:14" ht="17.25" x14ac:dyDescent="0.3">
      <c r="A10" s="457"/>
      <c r="B10" s="457"/>
      <c r="C10" s="457"/>
      <c r="D10" s="457"/>
      <c r="E10" s="457"/>
      <c r="F10" s="457"/>
      <c r="G10" s="457"/>
      <c r="H10" s="457"/>
      <c r="I10" s="457"/>
      <c r="J10" s="2"/>
      <c r="K10" s="2"/>
      <c r="L10" s="1"/>
      <c r="M10" s="1"/>
      <c r="N10" s="1"/>
    </row>
    <row r="11" spans="1:14" ht="17.25" x14ac:dyDescent="0.3">
      <c r="A11" s="457"/>
      <c r="B11" s="457"/>
      <c r="C11" s="457"/>
      <c r="D11" s="457"/>
      <c r="E11" s="457"/>
      <c r="F11" s="457"/>
      <c r="G11" s="457"/>
      <c r="H11" s="457"/>
      <c r="I11" s="457"/>
      <c r="J11" s="2"/>
      <c r="K11" s="2"/>
      <c r="L11" s="1"/>
      <c r="M11" s="1"/>
      <c r="N11" s="1"/>
    </row>
    <row r="12" spans="1:14" ht="17.25" x14ac:dyDescent="0.3">
      <c r="A12" s="457"/>
      <c r="B12" s="457"/>
      <c r="C12" s="457"/>
      <c r="D12" s="457"/>
      <c r="E12" s="457"/>
      <c r="F12" s="457"/>
      <c r="G12" s="457"/>
      <c r="H12" s="457"/>
      <c r="I12" s="457"/>
      <c r="J12" s="2"/>
      <c r="K12" s="2"/>
      <c r="L12" s="1"/>
      <c r="M12" s="1"/>
      <c r="N12" s="1"/>
    </row>
    <row r="13" spans="1:14" ht="17.25" x14ac:dyDescent="0.3">
      <c r="A13" s="457"/>
      <c r="B13" s="457"/>
      <c r="C13" s="457"/>
      <c r="D13" s="457"/>
      <c r="E13" s="457"/>
      <c r="F13" s="457"/>
      <c r="G13" s="457"/>
      <c r="H13" s="457"/>
      <c r="I13" s="457"/>
      <c r="J13" s="1"/>
      <c r="K13" s="1"/>
      <c r="L13" s="1"/>
      <c r="M13" s="1"/>
      <c r="N13" s="1"/>
    </row>
    <row r="14" spans="1:14" ht="17.25" x14ac:dyDescent="0.3">
      <c r="A14" s="457"/>
      <c r="B14" s="457"/>
      <c r="C14" s="457"/>
      <c r="D14" s="457"/>
      <c r="E14" s="457"/>
      <c r="F14" s="457"/>
      <c r="G14" s="457"/>
      <c r="H14" s="457"/>
      <c r="I14" s="457"/>
      <c r="J14" s="1"/>
      <c r="K14" s="1"/>
      <c r="L14" s="1"/>
      <c r="M14" s="1"/>
      <c r="N14" s="1"/>
    </row>
    <row r="15" spans="1:14" ht="17.25" x14ac:dyDescent="0.3">
      <c r="A15" s="457"/>
      <c r="B15" s="457"/>
      <c r="C15" s="457"/>
      <c r="D15" s="457"/>
      <c r="E15" s="457"/>
      <c r="F15" s="457"/>
      <c r="G15" s="457"/>
      <c r="H15" s="457"/>
      <c r="I15" s="457"/>
      <c r="J15" s="1"/>
      <c r="L15" s="3"/>
      <c r="M15" s="1"/>
      <c r="N15" s="1"/>
    </row>
    <row r="16" spans="1:14" ht="18" thickBot="1" x14ac:dyDescent="0.35">
      <c r="A16" s="457"/>
      <c r="B16" s="457"/>
      <c r="C16" s="457"/>
      <c r="D16" s="457"/>
      <c r="E16" s="457"/>
      <c r="F16" s="457"/>
      <c r="G16" s="457"/>
      <c r="H16" s="457"/>
      <c r="I16" s="457"/>
      <c r="J16" s="2"/>
      <c r="K16" s="2"/>
      <c r="L16" s="3"/>
      <c r="M16" s="1"/>
      <c r="N16" s="1"/>
    </row>
    <row r="17" spans="1:15" ht="21" thickBot="1" x14ac:dyDescent="0.35">
      <c r="A17" s="458" t="s">
        <v>15</v>
      </c>
      <c r="B17" s="459"/>
      <c r="C17" s="459"/>
      <c r="D17" s="459"/>
      <c r="E17" s="459"/>
      <c r="F17" s="459"/>
      <c r="G17" s="459"/>
      <c r="H17" s="459"/>
      <c r="I17" s="460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463" t="s">
        <v>82</v>
      </c>
      <c r="B19" s="464"/>
      <c r="C19" s="465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466" t="s">
        <v>77</v>
      </c>
      <c r="B20" s="443"/>
      <c r="C20" s="443"/>
      <c r="D20" s="68" t="s">
        <v>79</v>
      </c>
      <c r="E20" s="68" t="s">
        <v>80</v>
      </c>
      <c r="F20" s="68" t="s">
        <v>78</v>
      </c>
      <c r="G20" s="111" t="s">
        <v>24</v>
      </c>
      <c r="H20" s="443" t="s">
        <v>5</v>
      </c>
      <c r="I20" s="443"/>
      <c r="J20" s="1"/>
      <c r="K20" s="1"/>
      <c r="L20" s="1"/>
      <c r="M20" s="1"/>
      <c r="N20" s="1"/>
    </row>
    <row r="21" spans="1:15" ht="18" thickBot="1" x14ac:dyDescent="0.35">
      <c r="A21" s="361" t="s">
        <v>193</v>
      </c>
      <c r="B21" s="362"/>
      <c r="C21" s="362"/>
      <c r="D21" s="362"/>
      <c r="E21" s="363"/>
      <c r="F21" s="121">
        <f>SUM(F22:F25)</f>
        <v>0</v>
      </c>
      <c r="G21" s="207">
        <f>SUM(G22:G25)</f>
        <v>0</v>
      </c>
      <c r="H21" s="446">
        <f>SUM(H22:I25)</f>
        <v>0</v>
      </c>
      <c r="I21" s="447"/>
      <c r="J21" s="1"/>
      <c r="K21" s="1"/>
      <c r="L21" s="1"/>
      <c r="M21" s="1"/>
      <c r="N21" s="1"/>
    </row>
    <row r="22" spans="1:15" ht="17.25" x14ac:dyDescent="0.3">
      <c r="A22" s="136" t="s">
        <v>119</v>
      </c>
      <c r="B22" s="300" t="s">
        <v>150</v>
      </c>
      <c r="C22" s="43" t="s">
        <v>23</v>
      </c>
      <c r="D22" s="301" t="s">
        <v>143</v>
      </c>
      <c r="E22" s="92">
        <f>IF(D22="Dewald", Employees!$J$20,IF(D22="Hannes",Employees!$J$19,IF(D22="Johan",Employees!$J$21,"")))</f>
        <v>672</v>
      </c>
      <c r="F22" s="302">
        <v>0</v>
      </c>
      <c r="G22" s="303">
        <f>F22/8</f>
        <v>0</v>
      </c>
      <c r="H22" s="448">
        <f>F22*E22</f>
        <v>0</v>
      </c>
      <c r="I22" s="449"/>
      <c r="J22" s="388"/>
      <c r="K22" s="1"/>
      <c r="L22" s="1"/>
      <c r="M22" s="1"/>
      <c r="N22" s="1"/>
    </row>
    <row r="23" spans="1:15" ht="17.25" x14ac:dyDescent="0.3">
      <c r="A23" s="304"/>
      <c r="B23" s="305"/>
      <c r="C23" s="306" t="s">
        <v>23</v>
      </c>
      <c r="D23" s="204" t="s">
        <v>149</v>
      </c>
      <c r="E23" s="299">
        <f>IF(D23="Dewald", Employees!$J$20,IF(D23="Hannes",Employees!$J$19,IF(D23="Johan",Employees!$J$21,"")))</f>
        <v>395</v>
      </c>
      <c r="F23" s="307">
        <v>0</v>
      </c>
      <c r="G23" s="308">
        <f>F23/8</f>
        <v>0</v>
      </c>
      <c r="H23" s="448">
        <f>F23*E23</f>
        <v>0</v>
      </c>
      <c r="I23" s="449"/>
      <c r="J23" s="389"/>
      <c r="K23" s="1"/>
      <c r="L23" s="1"/>
      <c r="M23" s="1"/>
      <c r="N23" s="1"/>
    </row>
    <row r="24" spans="1:15" ht="17.25" x14ac:dyDescent="0.3">
      <c r="A24" s="469" t="s">
        <v>120</v>
      </c>
      <c r="B24" s="469"/>
      <c r="C24" s="306" t="s">
        <v>23</v>
      </c>
      <c r="D24" s="92" t="s">
        <v>143</v>
      </c>
      <c r="E24" s="299">
        <f>IF(D24="Dewald", Employees!$J$20,IF(D24="Hannes",Employees!$J$19,IF(D24="Johan",Employees!$J$21,"")))</f>
        <v>672</v>
      </c>
      <c r="F24" s="307">
        <v>0</v>
      </c>
      <c r="G24" s="308">
        <f>F24/8</f>
        <v>0</v>
      </c>
      <c r="H24" s="449">
        <f>F24*E24</f>
        <v>0</v>
      </c>
      <c r="I24" s="449"/>
      <c r="J24" s="389"/>
      <c r="K24" s="1"/>
      <c r="L24" s="1"/>
      <c r="M24" s="1"/>
      <c r="N24" s="1"/>
    </row>
    <row r="25" spans="1:15" ht="18" thickBot="1" x14ac:dyDescent="0.35">
      <c r="A25" s="453" t="s">
        <v>121</v>
      </c>
      <c r="B25" s="453"/>
      <c r="C25" s="309" t="s">
        <v>23</v>
      </c>
      <c r="D25" s="94" t="s">
        <v>143</v>
      </c>
      <c r="E25" s="310">
        <f>IF(D25="Dewald", Employees!$J$20,IF(D25="Hannes",Employees!$J$19,IF(D25="Johan",Employees!$J$21,"")))</f>
        <v>672</v>
      </c>
      <c r="F25" s="311">
        <v>0</v>
      </c>
      <c r="G25" s="312">
        <f>F25/8</f>
        <v>0</v>
      </c>
      <c r="H25" s="454">
        <f>F25*E25</f>
        <v>0</v>
      </c>
      <c r="I25" s="454"/>
      <c r="J25" s="390"/>
      <c r="N25" s="161"/>
    </row>
    <row r="26" spans="1:15" ht="18" thickBot="1" x14ac:dyDescent="0.35">
      <c r="A26" s="252"/>
      <c r="B26" s="253"/>
      <c r="C26" s="254"/>
      <c r="D26" s="204"/>
      <c r="E26" s="214"/>
      <c r="F26" s="209"/>
      <c r="G26" s="255"/>
      <c r="H26" s="90"/>
      <c r="I26" s="90"/>
      <c r="J26" s="1"/>
      <c r="N26" s="161"/>
    </row>
    <row r="27" spans="1:15" ht="18" thickBot="1" x14ac:dyDescent="0.35">
      <c r="A27" s="358" t="s">
        <v>212</v>
      </c>
      <c r="B27" s="359"/>
      <c r="C27" s="359"/>
      <c r="D27" s="359"/>
      <c r="E27" s="360"/>
      <c r="F27" s="123" t="s">
        <v>78</v>
      </c>
      <c r="G27" s="251" t="s">
        <v>24</v>
      </c>
      <c r="H27" s="361">
        <f>H28+H29</f>
        <v>0</v>
      </c>
      <c r="I27" s="363"/>
      <c r="J27" s="1"/>
      <c r="N27" s="161"/>
    </row>
    <row r="28" spans="1:15" ht="17.25" x14ac:dyDescent="0.3">
      <c r="A28" s="249" t="s">
        <v>194</v>
      </c>
      <c r="B28" s="452" t="s">
        <v>151</v>
      </c>
      <c r="C28" s="452"/>
      <c r="D28" s="250" t="s">
        <v>143</v>
      </c>
      <c r="E28" s="250">
        <f>IF(D28="Dewald", Employees!$J$20,IF(D28="Hannes",Employees!$J$19,IF(D28="Johan",Employees!$J$21,"")))</f>
        <v>672</v>
      </c>
      <c r="F28" s="258">
        <f>G28*8</f>
        <v>0</v>
      </c>
      <c r="G28" s="256">
        <v>0</v>
      </c>
      <c r="H28" s="455">
        <f>F28*E28</f>
        <v>0</v>
      </c>
      <c r="I28" s="456"/>
      <c r="J28" s="1"/>
    </row>
    <row r="29" spans="1:15" ht="18" thickBot="1" x14ac:dyDescent="0.35">
      <c r="A29" s="4" t="s">
        <v>218</v>
      </c>
      <c r="B29" s="391" t="s">
        <v>219</v>
      </c>
      <c r="C29" s="391"/>
      <c r="D29" s="90">
        <v>30</v>
      </c>
      <c r="E29" s="3">
        <v>0</v>
      </c>
      <c r="F29" s="1"/>
      <c r="G29" s="1"/>
      <c r="H29" s="392">
        <f>H57</f>
        <v>0</v>
      </c>
      <c r="I29" s="393"/>
      <c r="J29" s="1"/>
      <c r="K29" s="297"/>
      <c r="L29" s="298"/>
      <c r="M29" s="129"/>
      <c r="N29" s="3"/>
      <c r="O29" s="3"/>
    </row>
    <row r="30" spans="1:15" ht="18" thickBot="1" x14ac:dyDescent="0.35">
      <c r="A30" s="358" t="s">
        <v>231</v>
      </c>
      <c r="B30" s="359"/>
      <c r="C30" s="359"/>
      <c r="D30" s="359"/>
      <c r="E30" s="360"/>
      <c r="F30" s="123">
        <f>SUM(F31:F35)</f>
        <v>24</v>
      </c>
      <c r="G30" s="251">
        <f>SUM(G31:G35)</f>
        <v>3</v>
      </c>
      <c r="H30" s="361">
        <f>SUM(H31:I35)</f>
        <v>11696</v>
      </c>
      <c r="I30" s="360"/>
      <c r="J30" s="1"/>
      <c r="K30" s="130"/>
      <c r="L30" s="90"/>
      <c r="M30" s="90"/>
      <c r="N30" s="130"/>
      <c r="O30" s="130"/>
    </row>
    <row r="31" spans="1:15" ht="17.25" x14ac:dyDescent="0.3">
      <c r="A31" s="23"/>
      <c r="B31" s="425"/>
      <c r="C31" s="426"/>
      <c r="D31" s="92"/>
      <c r="E31" s="92"/>
      <c r="F31" s="205"/>
      <c r="G31" s="206"/>
      <c r="H31" s="427"/>
      <c r="I31" s="428"/>
      <c r="J31" s="1"/>
      <c r="N31" s="161"/>
    </row>
    <row r="32" spans="1:15" ht="17.25" x14ac:dyDescent="0.3">
      <c r="A32" s="467" t="s">
        <v>227</v>
      </c>
      <c r="B32" s="467"/>
      <c r="C32" s="23"/>
      <c r="D32" s="92" t="s">
        <v>143</v>
      </c>
      <c r="E32" s="92">
        <f>IF(D32="Dewald", Employees!$J$20,IF(D32="Hannes",Employees!$J$19,IF(D32="Johan",Employees!$J$21,"")))</f>
        <v>672</v>
      </c>
      <c r="F32" s="259">
        <f>G32*8</f>
        <v>8</v>
      </c>
      <c r="G32" s="257">
        <v>1</v>
      </c>
      <c r="H32" s="427">
        <f>F32*E32</f>
        <v>5376</v>
      </c>
      <c r="I32" s="428"/>
      <c r="J32" s="1"/>
      <c r="K32" s="296"/>
      <c r="N32" s="130"/>
    </row>
    <row r="33" spans="1:27" ht="17.25" x14ac:dyDescent="0.3">
      <c r="A33" s="202" t="s">
        <v>189</v>
      </c>
      <c r="B33" s="202"/>
      <c r="C33" s="23"/>
      <c r="D33" s="92" t="s">
        <v>143</v>
      </c>
      <c r="E33" s="92">
        <f>IF(D33="Dewald", Employees!$J$20,IF(D33="Hannes",Employees!$J$19,IF(D33="Johan",Employees!$J$21,"")))</f>
        <v>672</v>
      </c>
      <c r="F33" s="259">
        <f>G33*8</f>
        <v>0</v>
      </c>
      <c r="G33" s="257">
        <v>0</v>
      </c>
      <c r="H33" s="427">
        <f>F33*E33</f>
        <v>0</v>
      </c>
      <c r="I33" s="428"/>
      <c r="J33" s="1"/>
      <c r="K33" s="296"/>
      <c r="N33" s="130"/>
    </row>
    <row r="34" spans="1:27" ht="18" thickBot="1" x14ac:dyDescent="0.35">
      <c r="A34" s="468" t="s">
        <v>228</v>
      </c>
      <c r="B34" s="468"/>
      <c r="C34" s="49"/>
      <c r="D34" s="92" t="s">
        <v>149</v>
      </c>
      <c r="E34" s="92">
        <f>IF(D34="Dewald", Employees!$J$20,IF(D34="Hannes",Employees!$J$19,IF(D34="Johan",Employees!$J$21,"")))</f>
        <v>395</v>
      </c>
      <c r="F34" s="259">
        <f>G34*8</f>
        <v>16</v>
      </c>
      <c r="G34" s="257">
        <v>2</v>
      </c>
      <c r="H34" s="427">
        <f>F34*E34</f>
        <v>6320</v>
      </c>
      <c r="I34" s="428"/>
      <c r="J34" s="1"/>
      <c r="L34" s="293"/>
      <c r="M34" s="157"/>
      <c r="N34" s="161"/>
    </row>
    <row r="35" spans="1:27" ht="18" thickBot="1" x14ac:dyDescent="0.35">
      <c r="A35" s="128"/>
      <c r="B35" s="128"/>
      <c r="C35" s="49"/>
      <c r="D35" s="49"/>
      <c r="E35" s="154"/>
      <c r="F35" s="49"/>
      <c r="G35" s="109"/>
      <c r="H35" s="450"/>
      <c r="I35" s="450"/>
      <c r="J35" s="1"/>
      <c r="K35" s="378" t="s">
        <v>103</v>
      </c>
      <c r="L35" s="379"/>
      <c r="M35" s="380"/>
      <c r="N35" s="208">
        <f>G30+G28</f>
        <v>3</v>
      </c>
      <c r="O35" s="295"/>
      <c r="R35" s="130"/>
    </row>
    <row r="36" spans="1:27" ht="18" thickBot="1" x14ac:dyDescent="0.35">
      <c r="A36" s="358" t="s">
        <v>222</v>
      </c>
      <c r="B36" s="359"/>
      <c r="C36" s="110"/>
      <c r="D36" s="294" t="s">
        <v>223</v>
      </c>
      <c r="E36" s="110" t="s">
        <v>224</v>
      </c>
      <c r="F36" s="461" t="s">
        <v>226</v>
      </c>
      <c r="G36" s="462"/>
      <c r="H36" s="446" t="s">
        <v>4</v>
      </c>
      <c r="I36" s="447"/>
      <c r="J36" s="4"/>
      <c r="N36" s="3"/>
      <c r="O36" s="4"/>
      <c r="P36" s="1"/>
      <c r="Q36" s="1"/>
      <c r="R36" s="90"/>
      <c r="S36" s="1"/>
      <c r="T36" s="107"/>
      <c r="U36" s="127"/>
      <c r="V36" s="127"/>
      <c r="W36" s="1"/>
      <c r="X36" s="295"/>
      <c r="AA36" s="130"/>
    </row>
    <row r="37" spans="1:27" ht="18" thickBot="1" x14ac:dyDescent="0.35">
      <c r="A37" s="4" t="s">
        <v>233</v>
      </c>
      <c r="B37" s="4"/>
      <c r="C37" s="1" t="s">
        <v>225</v>
      </c>
      <c r="D37" s="1">
        <v>82</v>
      </c>
      <c r="E37" s="6">
        <v>5.5</v>
      </c>
      <c r="F37" s="351">
        <v>1</v>
      </c>
      <c r="G37" s="351"/>
      <c r="H37" s="514">
        <f>(D37*E37)*F37</f>
        <v>451</v>
      </c>
      <c r="I37" s="502"/>
      <c r="J37" s="1"/>
      <c r="N37" s="3"/>
      <c r="O37" s="1"/>
      <c r="P37" s="1"/>
      <c r="Q37" s="1"/>
      <c r="R37" s="1"/>
      <c r="S37" s="1"/>
      <c r="T37" s="1"/>
      <c r="U37" s="1"/>
      <c r="V37" s="1"/>
      <c r="W37" s="1"/>
      <c r="X37" s="1"/>
      <c r="Y37" s="157"/>
      <c r="AA37" s="161"/>
    </row>
    <row r="38" spans="1:27" ht="18" thickBot="1" x14ac:dyDescent="0.35">
      <c r="A38" s="322" t="s">
        <v>234</v>
      </c>
      <c r="B38" s="322"/>
      <c r="C38" s="322"/>
      <c r="D38" s="1" t="s">
        <v>235</v>
      </c>
      <c r="E38" s="6">
        <v>672</v>
      </c>
      <c r="F38" s="322">
        <v>1</v>
      </c>
      <c r="G38" s="322"/>
      <c r="H38" s="333">
        <f>F38*E38</f>
        <v>672</v>
      </c>
      <c r="I38" s="333"/>
      <c r="J38" s="1"/>
      <c r="K38" s="381" t="s">
        <v>122</v>
      </c>
      <c r="L38" s="382"/>
      <c r="M38" s="383"/>
      <c r="N38" s="167">
        <f>H40/N35</f>
        <v>3898.6666666666665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57"/>
      <c r="AA38" s="161"/>
    </row>
    <row r="39" spans="1:27" ht="17.25" x14ac:dyDescent="0.3">
      <c r="A39" s="5"/>
      <c r="B39" s="5"/>
      <c r="C39" s="5"/>
      <c r="D39" s="1"/>
      <c r="E39" s="6"/>
      <c r="F39" s="5"/>
      <c r="G39" s="5"/>
      <c r="H39" s="127"/>
      <c r="I39" s="127"/>
      <c r="J39" s="1"/>
      <c r="K39" s="512"/>
      <c r="L39" s="512"/>
      <c r="M39" s="512"/>
      <c r="N39" s="513"/>
      <c r="O39" s="1"/>
      <c r="P39" s="1"/>
      <c r="Q39" s="1"/>
      <c r="R39" s="1"/>
      <c r="S39" s="1"/>
      <c r="T39" s="1"/>
      <c r="U39" s="1"/>
      <c r="V39" s="1"/>
      <c r="W39" s="1"/>
      <c r="X39" s="1"/>
      <c r="Y39" s="157"/>
      <c r="AA39" s="161"/>
    </row>
    <row r="40" spans="1:27" ht="18" x14ac:dyDescent="0.3">
      <c r="A40" s="116"/>
      <c r="B40" s="116"/>
      <c r="D40" s="155"/>
      <c r="E40" s="155"/>
      <c r="F40" s="155"/>
      <c r="G40" s="155" t="s">
        <v>229</v>
      </c>
      <c r="H40" s="333">
        <f>H30+H27+H21</f>
        <v>11696</v>
      </c>
      <c r="I40" s="322"/>
      <c r="J40" s="1"/>
      <c r="K40" s="1"/>
      <c r="L40" s="1"/>
      <c r="M40" s="1"/>
      <c r="N40" s="90"/>
    </row>
    <row r="41" spans="1:27" ht="18.75" thickBot="1" x14ac:dyDescent="0.35">
      <c r="A41" s="116"/>
      <c r="B41" s="116"/>
      <c r="C41" s="116"/>
      <c r="E41" s="313" t="s">
        <v>222</v>
      </c>
      <c r="F41" s="402">
        <f>F37</f>
        <v>1</v>
      </c>
      <c r="G41" s="402"/>
      <c r="H41" s="515">
        <f>H38+H37</f>
        <v>1123</v>
      </c>
      <c r="I41" s="516"/>
      <c r="J41" s="1"/>
    </row>
    <row r="42" spans="1:27" ht="21" thickBot="1" x14ac:dyDescent="0.35">
      <c r="A42" s="1"/>
      <c r="B42" s="1"/>
      <c r="C42" s="1"/>
      <c r="D42" s="1"/>
      <c r="F42" s="403" t="s">
        <v>93</v>
      </c>
      <c r="G42" s="404"/>
      <c r="H42" s="400">
        <f>H40+H41</f>
        <v>12819</v>
      </c>
      <c r="I42" s="401"/>
      <c r="J42" s="1"/>
      <c r="K42" s="384" t="s">
        <v>216</v>
      </c>
      <c r="L42" s="384"/>
      <c r="M42" s="384"/>
      <c r="N42" s="384" t="s">
        <v>217</v>
      </c>
      <c r="O42" s="384"/>
      <c r="P42" s="384"/>
    </row>
    <row r="43" spans="1:27" ht="18.75" thickBot="1" x14ac:dyDescent="0.35">
      <c r="A43" s="1"/>
      <c r="B43" s="1"/>
      <c r="C43" s="1"/>
      <c r="D43" s="1"/>
      <c r="E43" s="1"/>
      <c r="F43" s="1"/>
      <c r="G43" s="1"/>
      <c r="H43" s="1"/>
      <c r="I43" s="1"/>
      <c r="K43" s="385" t="s">
        <v>200</v>
      </c>
      <c r="L43" s="386"/>
      <c r="M43" s="387"/>
      <c r="N43" s="385" t="s">
        <v>200</v>
      </c>
      <c r="O43" s="386"/>
      <c r="P43" s="387"/>
    </row>
    <row r="44" spans="1:27" ht="17.25" x14ac:dyDescent="0.3">
      <c r="A44" s="126"/>
      <c r="B44" s="126"/>
      <c r="C44" s="126"/>
      <c r="D44" s="126"/>
      <c r="E44" s="126"/>
      <c r="F44" s="126"/>
      <c r="G44" s="126"/>
      <c r="H44" s="126"/>
      <c r="I44" s="126"/>
      <c r="K44" s="265" t="s">
        <v>185</v>
      </c>
      <c r="L44" s="266" t="s">
        <v>186</v>
      </c>
      <c r="M44" s="267" t="s">
        <v>187</v>
      </c>
      <c r="N44" s="265" t="s">
        <v>185</v>
      </c>
      <c r="O44" s="266" t="s">
        <v>186</v>
      </c>
      <c r="P44" s="267" t="s">
        <v>187</v>
      </c>
    </row>
    <row r="45" spans="1:27" ht="17.25" x14ac:dyDescent="0.3">
      <c r="A45" s="1"/>
      <c r="B45" s="1"/>
      <c r="C45" s="1"/>
      <c r="D45" s="1"/>
      <c r="E45" s="1"/>
      <c r="F45" s="1"/>
      <c r="G45" s="1"/>
      <c r="H45" s="1" t="s">
        <v>220</v>
      </c>
      <c r="I45" s="1"/>
      <c r="K45" s="268" t="s">
        <v>182</v>
      </c>
      <c r="L45" s="243">
        <v>0.7</v>
      </c>
      <c r="M45" s="269">
        <f>K71*L45</f>
        <v>8973.2999999999993</v>
      </c>
      <c r="N45" s="268" t="s">
        <v>182</v>
      </c>
      <c r="O45" s="243">
        <v>0.5</v>
      </c>
      <c r="P45" s="269">
        <f>H42*O45</f>
        <v>6409.5</v>
      </c>
    </row>
    <row r="46" spans="1:27" ht="17.25" x14ac:dyDescent="0.3">
      <c r="A46" s="1"/>
      <c r="B46" s="1"/>
      <c r="C46" s="1"/>
      <c r="D46" s="1"/>
      <c r="E46" s="1"/>
      <c r="F46" s="1"/>
      <c r="G46" s="1"/>
      <c r="H46" s="1"/>
      <c r="I46" s="1"/>
      <c r="K46" s="268" t="s">
        <v>183</v>
      </c>
      <c r="L46" s="243">
        <v>0</v>
      </c>
      <c r="M46" s="269">
        <f>K71*L46</f>
        <v>0</v>
      </c>
      <c r="N46" s="268" t="s">
        <v>183</v>
      </c>
      <c r="O46" s="243">
        <v>0</v>
      </c>
      <c r="P46" s="269">
        <f>H42*O46</f>
        <v>0</v>
      </c>
    </row>
    <row r="47" spans="1:27" ht="18" thickBot="1" x14ac:dyDescent="0.35">
      <c r="A47" s="1"/>
      <c r="B47" s="1"/>
      <c r="C47" s="1"/>
      <c r="D47" s="1"/>
      <c r="E47" s="1"/>
      <c r="F47" s="1"/>
      <c r="G47" s="1"/>
      <c r="H47" s="1"/>
      <c r="I47" s="1"/>
      <c r="K47" s="270" t="s">
        <v>184</v>
      </c>
      <c r="L47" s="244">
        <v>0.3</v>
      </c>
      <c r="M47" s="271">
        <f>K71*L47</f>
        <v>3845.7</v>
      </c>
      <c r="N47" s="270" t="s">
        <v>184</v>
      </c>
      <c r="O47" s="244">
        <v>0.5</v>
      </c>
      <c r="P47" s="271">
        <f>H42*O47</f>
        <v>6409.5</v>
      </c>
    </row>
    <row r="48" spans="1:27" ht="19.5" thickBot="1" x14ac:dyDescent="0.35">
      <c r="A48" s="463" t="s">
        <v>95</v>
      </c>
      <c r="B48" s="464"/>
      <c r="C48" s="465"/>
      <c r="D48" s="1"/>
      <c r="E48" s="3" t="s">
        <v>86</v>
      </c>
      <c r="F48" s="1"/>
      <c r="G48" s="1"/>
      <c r="H48" s="1"/>
      <c r="I48" s="1"/>
      <c r="K48" s="245" t="s">
        <v>4</v>
      </c>
      <c r="L48" s="246">
        <f>SUM(L45:L47)</f>
        <v>1</v>
      </c>
      <c r="M48" s="242">
        <f>SUM(M45:M47)</f>
        <v>12819</v>
      </c>
      <c r="N48" s="245" t="s">
        <v>4</v>
      </c>
      <c r="O48" s="246">
        <f>SUM(O45:O47)</f>
        <v>1</v>
      </c>
      <c r="P48" s="242">
        <f>SUM(P45:P47)</f>
        <v>12819</v>
      </c>
    </row>
    <row r="49" spans="1:14" ht="18" thickBot="1" x14ac:dyDescent="0.35">
      <c r="A49" s="466" t="s">
        <v>77</v>
      </c>
      <c r="B49" s="443"/>
      <c r="C49" s="443"/>
      <c r="D49" s="68" t="s">
        <v>79</v>
      </c>
      <c r="E49" s="68" t="s">
        <v>94</v>
      </c>
      <c r="F49" s="68" t="s">
        <v>96</v>
      </c>
      <c r="G49" s="111"/>
      <c r="H49" s="443" t="s">
        <v>5</v>
      </c>
      <c r="I49" s="443"/>
      <c r="K49" s="187"/>
      <c r="M49" s="20"/>
      <c r="N49" s="157"/>
    </row>
    <row r="50" spans="1:14" ht="18.75" thickBot="1" x14ac:dyDescent="0.35">
      <c r="A50" s="361" t="s">
        <v>214</v>
      </c>
      <c r="B50" s="437"/>
      <c r="C50" s="114"/>
      <c r="D50" s="114"/>
      <c r="E50" s="120"/>
      <c r="F50" s="121" t="s">
        <v>115</v>
      </c>
      <c r="G50" s="122" t="s">
        <v>101</v>
      </c>
      <c r="H50" s="446">
        <f>SUM(H51:I52)</f>
        <v>0</v>
      </c>
      <c r="I50" s="447"/>
      <c r="K50" s="385" t="s">
        <v>201</v>
      </c>
      <c r="L50" s="386"/>
      <c r="M50" s="387"/>
    </row>
    <row r="51" spans="1:14" ht="17.25" x14ac:dyDescent="0.3">
      <c r="A51" s="6" t="s">
        <v>230</v>
      </c>
      <c r="B51" s="451" t="s">
        <v>232</v>
      </c>
      <c r="C51" s="451"/>
      <c r="D51" s="6" t="s">
        <v>143</v>
      </c>
      <c r="E51" s="6">
        <v>40</v>
      </c>
      <c r="F51" s="295">
        <v>0</v>
      </c>
      <c r="G51" s="107">
        <v>0</v>
      </c>
      <c r="H51" s="335">
        <f>F51*E51</f>
        <v>0</v>
      </c>
      <c r="I51" s="335"/>
      <c r="K51" s="265" t="s">
        <v>185</v>
      </c>
      <c r="L51" s="266" t="s">
        <v>186</v>
      </c>
      <c r="M51" s="267" t="s">
        <v>187</v>
      </c>
      <c r="N51" s="1"/>
    </row>
    <row r="52" spans="1:14" ht="17.25" x14ac:dyDescent="0.3">
      <c r="A52" s="6"/>
      <c r="B52" s="444"/>
      <c r="C52" s="444"/>
      <c r="D52" s="6"/>
      <c r="E52" s="6"/>
      <c r="F52" s="1"/>
      <c r="G52" s="107"/>
      <c r="H52" s="335"/>
      <c r="I52" s="335"/>
      <c r="K52" s="268" t="s">
        <v>182</v>
      </c>
      <c r="L52" s="243">
        <v>0.7</v>
      </c>
      <c r="M52" s="269">
        <f>L71*L52</f>
        <v>0</v>
      </c>
      <c r="N52" s="1"/>
    </row>
    <row r="53" spans="1:14" ht="18" thickBot="1" x14ac:dyDescent="0.35">
      <c r="A53" s="6"/>
      <c r="B53" s="412"/>
      <c r="C53" s="412"/>
      <c r="D53" s="6"/>
      <c r="E53" s="6"/>
      <c r="F53" s="1"/>
      <c r="G53" s="107"/>
      <c r="H53" s="413"/>
      <c r="I53" s="413"/>
      <c r="K53" s="268" t="s">
        <v>183</v>
      </c>
      <c r="L53" s="243">
        <v>0</v>
      </c>
      <c r="M53" s="269">
        <f>L71*L53</f>
        <v>0</v>
      </c>
      <c r="N53" s="1"/>
    </row>
    <row r="54" spans="1:14" ht="18" thickBot="1" x14ac:dyDescent="0.35">
      <c r="A54" s="361" t="s">
        <v>213</v>
      </c>
      <c r="B54" s="437"/>
      <c r="C54" s="114"/>
      <c r="D54" s="114"/>
      <c r="E54" s="260" t="s">
        <v>115</v>
      </c>
      <c r="F54" s="121">
        <f>F55+F56</f>
        <v>0</v>
      </c>
      <c r="G54" s="122" t="s">
        <v>101</v>
      </c>
      <c r="H54" s="361">
        <f>SUM(H55:I58)</f>
        <v>0</v>
      </c>
      <c r="I54" s="363"/>
      <c r="K54" s="270" t="s">
        <v>184</v>
      </c>
      <c r="L54" s="244">
        <v>0.3</v>
      </c>
      <c r="M54" s="271">
        <f>L71*L54</f>
        <v>0</v>
      </c>
      <c r="N54" s="1"/>
    </row>
    <row r="55" spans="1:14" ht="17.25" customHeight="1" thickBot="1" x14ac:dyDescent="0.35">
      <c r="A55" s="1" t="s">
        <v>221</v>
      </c>
      <c r="B55" s="444" t="s">
        <v>152</v>
      </c>
      <c r="C55" s="444"/>
      <c r="D55" s="1" t="s">
        <v>143</v>
      </c>
      <c r="E55" s="6">
        <v>150</v>
      </c>
      <c r="F55" s="295">
        <v>0</v>
      </c>
      <c r="G55" s="1"/>
      <c r="H55" s="335">
        <f>F55*E55</f>
        <v>0</v>
      </c>
      <c r="I55" s="335"/>
      <c r="K55" s="245" t="s">
        <v>4</v>
      </c>
      <c r="L55" s="246">
        <f>SUM(L52:L54)</f>
        <v>1</v>
      </c>
      <c r="M55" s="242">
        <f>SUM(M52:M54)</f>
        <v>0</v>
      </c>
      <c r="N55" s="1"/>
    </row>
    <row r="56" spans="1:14" ht="17.25" x14ac:dyDescent="0.3">
      <c r="A56" s="289" t="s">
        <v>195</v>
      </c>
      <c r="B56" s="429" t="s">
        <v>152</v>
      </c>
      <c r="C56" s="429"/>
      <c r="D56" s="287" t="s">
        <v>143</v>
      </c>
      <c r="E56" s="288">
        <v>130</v>
      </c>
      <c r="F56" s="287">
        <v>0</v>
      </c>
      <c r="G56" s="287"/>
      <c r="H56" s="430">
        <f>F56*E56</f>
        <v>0</v>
      </c>
      <c r="I56" s="430"/>
      <c r="L56" s="6"/>
      <c r="M56" s="158"/>
      <c r="N56" s="1"/>
    </row>
    <row r="57" spans="1:14" ht="17.25" x14ac:dyDescent="0.3">
      <c r="A57" s="4" t="s">
        <v>206</v>
      </c>
      <c r="B57" s="4" t="s">
        <v>208</v>
      </c>
      <c r="C57" s="1"/>
      <c r="D57" s="1" t="s">
        <v>143</v>
      </c>
      <c r="E57" s="6">
        <f>D29</f>
        <v>30</v>
      </c>
      <c r="F57" s="1">
        <v>0</v>
      </c>
      <c r="G57" s="107"/>
      <c r="H57" s="335">
        <f>F57*E57</f>
        <v>0</v>
      </c>
      <c r="I57" s="335"/>
      <c r="L57" s="6"/>
      <c r="M57" s="158"/>
      <c r="N57" s="1"/>
    </row>
    <row r="58" spans="1:14" ht="17.25" x14ac:dyDescent="0.3">
      <c r="A58" s="4"/>
      <c r="B58" s="290" t="s">
        <v>209</v>
      </c>
      <c r="C58" s="291"/>
      <c r="D58" s="291" t="s">
        <v>210</v>
      </c>
      <c r="E58" s="292">
        <v>30</v>
      </c>
      <c r="F58" s="291">
        <v>0</v>
      </c>
      <c r="G58" s="291"/>
      <c r="H58" s="445">
        <f>F58*E58</f>
        <v>0</v>
      </c>
      <c r="I58" s="445"/>
      <c r="L58" s="6"/>
      <c r="M58" s="158"/>
      <c r="N58" s="1"/>
    </row>
    <row r="59" spans="1:14" ht="18" thickBot="1" x14ac:dyDescent="0.35">
      <c r="A59" s="4"/>
      <c r="B59" s="4"/>
      <c r="C59" s="1"/>
      <c r="D59" s="1"/>
      <c r="E59" s="1"/>
      <c r="F59" s="1"/>
      <c r="G59" s="1"/>
      <c r="H59" s="1"/>
      <c r="I59" s="1"/>
      <c r="N59" s="1"/>
    </row>
    <row r="60" spans="1:14" ht="18.75" thickBot="1" x14ac:dyDescent="0.35">
      <c r="A60" s="358" t="s">
        <v>215</v>
      </c>
      <c r="B60" s="359"/>
      <c r="C60" s="110"/>
      <c r="D60" s="110"/>
      <c r="E60" s="110"/>
      <c r="F60" s="123" t="s">
        <v>115</v>
      </c>
      <c r="G60" s="123" t="s">
        <v>101</v>
      </c>
      <c r="H60" s="361">
        <f>SUM(H61:I68)</f>
        <v>0</v>
      </c>
      <c r="I60" s="363"/>
      <c r="K60" s="385" t="s">
        <v>202</v>
      </c>
      <c r="L60" s="386"/>
      <c r="M60" s="387"/>
      <c r="N60" s="1"/>
    </row>
    <row r="61" spans="1:14" ht="17.25" x14ac:dyDescent="0.3">
      <c r="A61" s="438"/>
      <c r="B61" s="438"/>
      <c r="C61" s="1"/>
      <c r="D61" s="1"/>
      <c r="E61" s="6"/>
      <c r="F61" s="1"/>
      <c r="G61" s="107"/>
      <c r="H61" s="335"/>
      <c r="I61" s="335"/>
      <c r="K61" s="265" t="s">
        <v>185</v>
      </c>
      <c r="L61" s="266" t="s">
        <v>186</v>
      </c>
      <c r="M61" s="267" t="s">
        <v>187</v>
      </c>
      <c r="N61" s="1"/>
    </row>
    <row r="62" spans="1:14" ht="18" thickBot="1" x14ac:dyDescent="0.35">
      <c r="A62" s="438" t="s">
        <v>196</v>
      </c>
      <c r="B62" s="438"/>
      <c r="C62" s="1"/>
      <c r="D62" s="1" t="s">
        <v>143</v>
      </c>
      <c r="E62" s="6">
        <v>150</v>
      </c>
      <c r="F62" s="1">
        <v>0</v>
      </c>
      <c r="G62" s="107"/>
      <c r="H62" s="335">
        <f>F62*E62</f>
        <v>0</v>
      </c>
      <c r="I62" s="335"/>
      <c r="K62" s="270" t="s">
        <v>92</v>
      </c>
      <c r="L62" s="284">
        <v>0</v>
      </c>
      <c r="M62" s="285">
        <f>H71*L62</f>
        <v>0</v>
      </c>
      <c r="N62" s="1"/>
    </row>
    <row r="63" spans="1:14" ht="17.25" x14ac:dyDescent="0.3">
      <c r="A63" s="286" t="s">
        <v>197</v>
      </c>
      <c r="B63" s="286"/>
      <c r="C63" s="287"/>
      <c r="D63" s="287" t="s">
        <v>143</v>
      </c>
      <c r="E63" s="288">
        <v>120</v>
      </c>
      <c r="F63" s="287">
        <v>0</v>
      </c>
      <c r="G63" s="287"/>
      <c r="H63" s="430">
        <f>F63*E63</f>
        <v>0</v>
      </c>
      <c r="I63" s="430"/>
      <c r="K63" s="279" t="s">
        <v>203</v>
      </c>
      <c r="L63" s="280">
        <v>0.7</v>
      </c>
      <c r="M63" s="281">
        <f>H42*L63</f>
        <v>8973.2999999999993</v>
      </c>
      <c r="N63" s="1"/>
    </row>
    <row r="64" spans="1:14" ht="18" thickBot="1" x14ac:dyDescent="0.35">
      <c r="A64" s="438" t="s">
        <v>204</v>
      </c>
      <c r="B64" s="438"/>
      <c r="C64" s="1"/>
      <c r="D64" s="1" t="s">
        <v>143</v>
      </c>
      <c r="E64" s="6">
        <v>60</v>
      </c>
      <c r="F64" s="1">
        <v>0</v>
      </c>
      <c r="G64" s="107"/>
      <c r="H64" s="335">
        <f t="shared" ref="H64:H65" si="0">F64*E64</f>
        <v>0</v>
      </c>
      <c r="I64" s="335"/>
      <c r="K64" s="282" t="s">
        <v>184</v>
      </c>
      <c r="L64" s="283">
        <v>0.3</v>
      </c>
      <c r="M64" s="278">
        <f>H42*L64</f>
        <v>3845.7</v>
      </c>
      <c r="N64" s="1"/>
    </row>
    <row r="65" spans="1:15" ht="18" thickBot="1" x14ac:dyDescent="0.35">
      <c r="A65" s="442" t="s">
        <v>205</v>
      </c>
      <c r="B65" s="442"/>
      <c r="C65" s="287"/>
      <c r="D65" s="287" t="s">
        <v>143</v>
      </c>
      <c r="E65" s="288">
        <v>50</v>
      </c>
      <c r="F65" s="287">
        <v>0</v>
      </c>
      <c r="G65" s="287"/>
      <c r="H65" s="430">
        <f t="shared" si="0"/>
        <v>0</v>
      </c>
      <c r="I65" s="430"/>
      <c r="K65" s="245" t="s">
        <v>4</v>
      </c>
      <c r="L65" s="246">
        <f>L63+L64</f>
        <v>1</v>
      </c>
      <c r="M65" s="242">
        <f>SUM(M63:M64)-M62</f>
        <v>12819</v>
      </c>
      <c r="N65" s="1"/>
    </row>
    <row r="66" spans="1:15" ht="17.25" x14ac:dyDescent="0.3">
      <c r="A66" s="438" t="s">
        <v>123</v>
      </c>
      <c r="B66" s="438"/>
      <c r="C66" s="1"/>
      <c r="D66" s="1" t="s">
        <v>143</v>
      </c>
      <c r="E66" s="6">
        <v>672</v>
      </c>
      <c r="F66" s="1">
        <v>0</v>
      </c>
      <c r="G66" s="107"/>
      <c r="H66" s="335">
        <f>F66*E66</f>
        <v>0</v>
      </c>
      <c r="I66" s="335"/>
      <c r="L66" s="1"/>
      <c r="M66" s="1"/>
      <c r="N66" s="1"/>
    </row>
    <row r="67" spans="1:15" ht="17.25" x14ac:dyDescent="0.3">
      <c r="A67" s="4"/>
      <c r="B67" s="4"/>
      <c r="C67" s="1"/>
      <c r="D67" s="1"/>
      <c r="E67" s="6"/>
      <c r="F67" s="1"/>
      <c r="G67" s="107"/>
      <c r="H67" s="335"/>
      <c r="I67" s="335"/>
      <c r="L67" s="1"/>
      <c r="M67" s="1"/>
      <c r="N67" s="1"/>
    </row>
    <row r="68" spans="1:15" ht="18" thickBot="1" x14ac:dyDescent="0.35">
      <c r="A68" s="295"/>
      <c r="B68" s="295"/>
      <c r="C68" s="1"/>
      <c r="D68" s="1"/>
      <c r="E68" s="1"/>
      <c r="F68" s="2"/>
      <c r="G68" s="2"/>
      <c r="H68" s="6"/>
      <c r="I68" s="6"/>
      <c r="L68" s="1"/>
      <c r="M68" s="1"/>
      <c r="N68" s="1"/>
    </row>
    <row r="69" spans="1:15" ht="18.75" thickBot="1" x14ac:dyDescent="0.35">
      <c r="A69" s="116"/>
      <c r="B69" s="116"/>
      <c r="C69" s="116"/>
      <c r="D69" s="414" t="s">
        <v>211</v>
      </c>
      <c r="E69" s="414"/>
      <c r="F69" s="414"/>
      <c r="G69" s="272"/>
      <c r="H69" s="415">
        <f>H50+H54+H60</f>
        <v>0</v>
      </c>
      <c r="I69" s="416"/>
      <c r="K69" s="275" t="s">
        <v>207</v>
      </c>
      <c r="L69" s="19"/>
      <c r="M69" s="275" t="s">
        <v>206</v>
      </c>
      <c r="N69" s="276"/>
      <c r="O69" s="177"/>
    </row>
    <row r="70" spans="1:15" ht="19.5" thickBot="1" x14ac:dyDescent="0.35">
      <c r="A70" s="116"/>
      <c r="B70" s="116"/>
      <c r="C70" s="116"/>
      <c r="D70" s="402" t="s">
        <v>92</v>
      </c>
      <c r="E70" s="402"/>
      <c r="F70" s="402"/>
      <c r="G70" s="117">
        <v>0</v>
      </c>
      <c r="H70" s="333">
        <f>H69*G70</f>
        <v>0</v>
      </c>
      <c r="I70" s="322"/>
      <c r="K70" s="261" t="s">
        <v>198</v>
      </c>
      <c r="L70" s="262" t="s">
        <v>199</v>
      </c>
      <c r="M70" s="273" t="s">
        <v>208</v>
      </c>
      <c r="N70" s="274" t="s">
        <v>209</v>
      </c>
      <c r="O70" s="177"/>
    </row>
    <row r="71" spans="1:15" ht="19.5" thickBot="1" x14ac:dyDescent="0.35">
      <c r="A71" s="1"/>
      <c r="B71" s="1"/>
      <c r="C71" s="1"/>
      <c r="D71" s="1"/>
      <c r="E71" s="1"/>
      <c r="F71" s="1"/>
      <c r="G71" s="118" t="s">
        <v>93</v>
      </c>
      <c r="H71" s="400">
        <f>H69-H70</f>
        <v>0</v>
      </c>
      <c r="I71" s="401"/>
      <c r="K71" s="263">
        <f>H42</f>
        <v>12819</v>
      </c>
      <c r="L71" s="264">
        <f>H56+H63+H65+H66+H58</f>
        <v>0</v>
      </c>
      <c r="M71" s="277">
        <f>H67</f>
        <v>0</v>
      </c>
      <c r="N71" s="278" t="e">
        <f>#REF!</f>
        <v>#REF!</v>
      </c>
      <c r="O71" s="177"/>
    </row>
    <row r="72" spans="1:15" ht="17.25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15" ht="17.25" x14ac:dyDescent="0.3">
      <c r="A73" s="126"/>
      <c r="B73" s="126"/>
      <c r="C73" s="126"/>
      <c r="D73" s="126"/>
      <c r="E73" s="126"/>
      <c r="F73" s="126"/>
      <c r="G73" s="126"/>
      <c r="H73" s="126"/>
      <c r="I73" s="126"/>
    </row>
    <row r="75" spans="1:15" ht="18" thickBot="1" x14ac:dyDescent="0.35">
      <c r="A75" s="439" t="s">
        <v>87</v>
      </c>
      <c r="B75" s="439"/>
      <c r="C75" s="1"/>
      <c r="D75" s="1"/>
      <c r="E75" s="1"/>
      <c r="F75" s="1"/>
      <c r="G75" s="1"/>
      <c r="H75" s="1"/>
      <c r="I75" s="1"/>
      <c r="J75" s="1"/>
      <c r="K75" s="1"/>
    </row>
    <row r="76" spans="1:15" ht="20.25" thickBot="1" x14ac:dyDescent="0.3">
      <c r="A76" s="355" t="s">
        <v>18</v>
      </c>
      <c r="B76" s="440"/>
      <c r="C76" s="440"/>
      <c r="D76" s="441"/>
      <c r="E76" s="398" t="s">
        <v>20</v>
      </c>
      <c r="F76" s="399"/>
      <c r="G76" s="398" t="s">
        <v>19</v>
      </c>
      <c r="H76" s="399"/>
      <c r="I76" s="212" t="s">
        <v>135</v>
      </c>
      <c r="K76" t="s">
        <v>175</v>
      </c>
      <c r="L76" t="s">
        <v>176</v>
      </c>
      <c r="M76" t="s">
        <v>177</v>
      </c>
      <c r="N76" t="s">
        <v>178</v>
      </c>
    </row>
    <row r="77" spans="1:15" ht="17.25" x14ac:dyDescent="0.3">
      <c r="A77" s="211" t="s">
        <v>100</v>
      </c>
      <c r="B77" s="220" t="s">
        <v>162</v>
      </c>
      <c r="C77" s="221"/>
      <c r="D77" s="221"/>
      <c r="E77" s="222">
        <v>2500</v>
      </c>
      <c r="F77" s="222"/>
      <c r="G77" s="223">
        <v>18.2</v>
      </c>
      <c r="H77" s="223"/>
      <c r="I77" s="224">
        <f>E77*G77</f>
        <v>45500</v>
      </c>
      <c r="K77" s="231" t="s">
        <v>167</v>
      </c>
      <c r="L77" s="236">
        <v>20000</v>
      </c>
      <c r="M77" s="156">
        <v>1</v>
      </c>
      <c r="N77" s="233">
        <f t="shared" ref="N77:N84" si="1">L77*M77</f>
        <v>20000</v>
      </c>
    </row>
    <row r="78" spans="1:15" ht="17.25" x14ac:dyDescent="0.3">
      <c r="A78" s="1"/>
      <c r="B78" s="431" t="s">
        <v>163</v>
      </c>
      <c r="C78" s="432"/>
      <c r="D78" s="216"/>
      <c r="E78" s="217">
        <v>2500</v>
      </c>
      <c r="F78" s="217"/>
      <c r="G78" s="218">
        <v>6.8</v>
      </c>
      <c r="H78" s="218"/>
      <c r="I78" s="225">
        <f>E78*G78</f>
        <v>17000</v>
      </c>
      <c r="K78" s="187" t="s">
        <v>168</v>
      </c>
      <c r="L78" s="237">
        <v>3000</v>
      </c>
      <c r="M78">
        <v>4</v>
      </c>
      <c r="N78" s="234">
        <f t="shared" si="1"/>
        <v>12000</v>
      </c>
    </row>
    <row r="79" spans="1:15" ht="17.25" x14ac:dyDescent="0.3">
      <c r="A79" s="1"/>
      <c r="B79" s="433" t="s">
        <v>164</v>
      </c>
      <c r="C79" s="434"/>
      <c r="D79" s="218" t="s">
        <v>181</v>
      </c>
      <c r="E79" s="217">
        <v>2500</v>
      </c>
      <c r="F79" s="217"/>
      <c r="G79" s="218">
        <v>9</v>
      </c>
      <c r="H79" s="218"/>
      <c r="I79" s="225"/>
      <c r="K79" s="187" t="s">
        <v>169</v>
      </c>
      <c r="L79" s="237">
        <v>5000</v>
      </c>
      <c r="M79">
        <v>2</v>
      </c>
      <c r="N79" s="234">
        <f t="shared" si="1"/>
        <v>10000</v>
      </c>
    </row>
    <row r="80" spans="1:15" ht="17.25" x14ac:dyDescent="0.3">
      <c r="A80" s="1"/>
      <c r="B80" s="226"/>
      <c r="C80" s="432" t="s">
        <v>166</v>
      </c>
      <c r="D80" s="432"/>
      <c r="E80" s="217">
        <v>27000</v>
      </c>
      <c r="F80" s="217"/>
      <c r="G80" s="218"/>
      <c r="H80" s="218"/>
      <c r="I80" s="225">
        <f>E80+(E79*G79)</f>
        <v>49500</v>
      </c>
      <c r="K80" s="187" t="s">
        <v>170</v>
      </c>
      <c r="L80" s="237">
        <v>8000</v>
      </c>
      <c r="M80">
        <v>1</v>
      </c>
      <c r="N80" s="234">
        <f t="shared" si="1"/>
        <v>8000</v>
      </c>
    </row>
    <row r="81" spans="1:14" ht="17.25" x14ac:dyDescent="0.3">
      <c r="A81" s="1"/>
      <c r="B81" s="431" t="s">
        <v>165</v>
      </c>
      <c r="C81" s="432"/>
      <c r="D81" s="218" t="s">
        <v>180</v>
      </c>
      <c r="E81" s="217">
        <v>80000</v>
      </c>
      <c r="F81" s="217"/>
      <c r="G81" s="218"/>
      <c r="H81" s="218"/>
      <c r="I81" s="225">
        <f>E81</f>
        <v>80000</v>
      </c>
      <c r="K81" s="187" t="s">
        <v>174</v>
      </c>
      <c r="L81" s="237">
        <v>5000</v>
      </c>
      <c r="M81">
        <v>1</v>
      </c>
      <c r="N81" s="234">
        <f t="shared" si="1"/>
        <v>5000</v>
      </c>
    </row>
    <row r="82" spans="1:14" ht="18" thickBot="1" x14ac:dyDescent="0.35">
      <c r="A82" s="1"/>
      <c r="B82" s="227"/>
      <c r="C82" s="435" t="s">
        <v>181</v>
      </c>
      <c r="D82" s="435"/>
      <c r="E82" s="228">
        <v>2500</v>
      </c>
      <c r="F82" s="228"/>
      <c r="G82" s="229">
        <v>13.4</v>
      </c>
      <c r="H82" s="229"/>
      <c r="I82" s="230">
        <f>E82*G82</f>
        <v>33500</v>
      </c>
      <c r="K82" s="187" t="s">
        <v>171</v>
      </c>
      <c r="L82" s="237">
        <v>2000</v>
      </c>
      <c r="M82">
        <v>1</v>
      </c>
      <c r="N82" s="234">
        <f t="shared" si="1"/>
        <v>2000</v>
      </c>
    </row>
    <row r="83" spans="1:14" ht="17.25" x14ac:dyDescent="0.3">
      <c r="A83" s="1"/>
      <c r="B83" s="5"/>
      <c r="C83" s="5"/>
      <c r="D83" s="213"/>
      <c r="E83" s="214"/>
      <c r="F83" s="215"/>
      <c r="G83" s="209"/>
      <c r="H83" s="210"/>
      <c r="I83" s="90"/>
      <c r="K83" s="187" t="s">
        <v>172</v>
      </c>
      <c r="L83" s="237">
        <v>7000</v>
      </c>
      <c r="M83">
        <v>1</v>
      </c>
      <c r="N83" s="234">
        <f t="shared" si="1"/>
        <v>7000</v>
      </c>
    </row>
    <row r="84" spans="1:14" ht="18" thickBot="1" x14ac:dyDescent="0.35">
      <c r="A84" s="1"/>
      <c r="B84" s="421" t="s">
        <v>129</v>
      </c>
      <c r="C84" s="421"/>
      <c r="D84" s="421"/>
      <c r="E84" s="217">
        <v>2500</v>
      </c>
      <c r="F84" s="217"/>
      <c r="G84" s="218">
        <v>18.62</v>
      </c>
      <c r="H84" s="218"/>
      <c r="I84" s="217">
        <f t="shared" ref="I84:I89" si="2">G84*E84</f>
        <v>46550</v>
      </c>
      <c r="K84" s="187" t="s">
        <v>173</v>
      </c>
      <c r="L84" s="237">
        <v>15000</v>
      </c>
      <c r="M84">
        <v>1</v>
      </c>
      <c r="N84" s="234">
        <f t="shared" si="1"/>
        <v>15000</v>
      </c>
    </row>
    <row r="85" spans="1:14" ht="18" thickBot="1" x14ac:dyDescent="0.35">
      <c r="A85" s="1"/>
      <c r="B85" s="436" t="s">
        <v>153</v>
      </c>
      <c r="C85" s="436"/>
      <c r="D85" s="436"/>
      <c r="E85" s="217">
        <v>2500</v>
      </c>
      <c r="F85" s="217"/>
      <c r="G85" s="218">
        <v>6.65</v>
      </c>
      <c r="H85" s="218"/>
      <c r="I85" s="217">
        <f t="shared" si="2"/>
        <v>16625</v>
      </c>
      <c r="K85" s="232"/>
      <c r="L85" s="192"/>
      <c r="M85" s="192"/>
      <c r="N85" s="235">
        <f>SUM(N77:N84)</f>
        <v>79000</v>
      </c>
    </row>
    <row r="86" spans="1:14" ht="17.25" x14ac:dyDescent="0.3">
      <c r="A86" s="1"/>
      <c r="B86" s="421" t="s">
        <v>154</v>
      </c>
      <c r="C86" s="421"/>
      <c r="D86" s="421"/>
      <c r="E86" s="217">
        <v>2500</v>
      </c>
      <c r="F86" s="217"/>
      <c r="G86" s="219">
        <v>3.8</v>
      </c>
      <c r="H86" s="216"/>
      <c r="I86" s="238">
        <f t="shared" si="2"/>
        <v>9500</v>
      </c>
    </row>
    <row r="87" spans="1:14" ht="17.25" x14ac:dyDescent="0.3">
      <c r="A87" s="1"/>
      <c r="B87" s="421" t="s">
        <v>155</v>
      </c>
      <c r="C87" s="421"/>
      <c r="D87" s="421"/>
      <c r="E87" s="217">
        <v>3000</v>
      </c>
      <c r="F87" s="217"/>
      <c r="G87" s="219">
        <v>12.2</v>
      </c>
      <c r="H87" s="216"/>
      <c r="I87" s="238">
        <f t="shared" si="2"/>
        <v>36600</v>
      </c>
    </row>
    <row r="88" spans="1:14" ht="17.25" x14ac:dyDescent="0.3">
      <c r="A88" s="1"/>
      <c r="B88" s="421" t="s">
        <v>156</v>
      </c>
      <c r="C88" s="421"/>
      <c r="D88" s="421"/>
      <c r="E88" s="217">
        <v>2500</v>
      </c>
      <c r="F88" s="217"/>
      <c r="G88" s="219">
        <v>32.68</v>
      </c>
      <c r="H88" s="216"/>
      <c r="I88" s="238">
        <f t="shared" si="2"/>
        <v>81700</v>
      </c>
    </row>
    <row r="89" spans="1:14" ht="17.25" x14ac:dyDescent="0.3">
      <c r="A89" s="1"/>
      <c r="B89" s="421" t="s">
        <v>158</v>
      </c>
      <c r="C89" s="421"/>
      <c r="D89" s="421"/>
      <c r="E89" s="217">
        <v>3000</v>
      </c>
      <c r="F89" s="239" t="s">
        <v>160</v>
      </c>
      <c r="G89" s="219">
        <v>18.55</v>
      </c>
      <c r="H89" s="216"/>
      <c r="I89" s="238">
        <f t="shared" si="2"/>
        <v>55650</v>
      </c>
    </row>
    <row r="90" spans="1:14" ht="17.25" x14ac:dyDescent="0.3">
      <c r="A90" s="1"/>
      <c r="B90" s="421"/>
      <c r="C90" s="421"/>
      <c r="D90" s="421"/>
      <c r="E90" s="217">
        <v>4637.5</v>
      </c>
      <c r="F90" s="240" t="s">
        <v>161</v>
      </c>
      <c r="G90" s="219"/>
      <c r="H90" s="216"/>
      <c r="I90" s="238"/>
    </row>
    <row r="91" spans="1:14" ht="17.25" x14ac:dyDescent="0.3">
      <c r="A91" s="1"/>
      <c r="B91" s="372" t="s">
        <v>179</v>
      </c>
      <c r="C91" s="373"/>
      <c r="D91" s="374"/>
      <c r="E91" s="217">
        <v>2500</v>
      </c>
      <c r="F91" s="240"/>
      <c r="G91" s="219">
        <v>6.15</v>
      </c>
      <c r="H91" s="216"/>
      <c r="I91" s="238">
        <f>G91*E91</f>
        <v>15375</v>
      </c>
    </row>
    <row r="92" spans="1:14" ht="17.25" x14ac:dyDescent="0.3">
      <c r="A92" s="1"/>
      <c r="B92" s="420"/>
      <c r="C92" s="420"/>
      <c r="D92" s="420"/>
      <c r="E92" s="90"/>
      <c r="F92" s="90"/>
      <c r="G92" s="5"/>
      <c r="H92" s="1"/>
      <c r="I92" s="127"/>
    </row>
    <row r="93" spans="1:14" ht="17.25" x14ac:dyDescent="0.3">
      <c r="A93" s="1" t="s">
        <v>130</v>
      </c>
      <c r="B93" s="49" t="s">
        <v>129</v>
      </c>
      <c r="C93" s="49"/>
      <c r="D93" s="49"/>
      <c r="E93" s="92">
        <v>0</v>
      </c>
      <c r="F93" s="92"/>
      <c r="G93" s="93">
        <v>0</v>
      </c>
      <c r="H93" s="93"/>
      <c r="I93" s="94">
        <v>300000</v>
      </c>
    </row>
    <row r="94" spans="1:14" ht="17.25" x14ac:dyDescent="0.3">
      <c r="A94" s="1"/>
      <c r="B94" s="49" t="s">
        <v>159</v>
      </c>
      <c r="C94" s="49"/>
      <c r="D94" s="49"/>
      <c r="E94" s="92"/>
      <c r="F94" s="92"/>
      <c r="G94" s="93"/>
      <c r="H94" s="93"/>
      <c r="I94" s="94">
        <f>43000+3500</f>
        <v>46500</v>
      </c>
    </row>
    <row r="95" spans="1:14" ht="18" thickBot="1" x14ac:dyDescent="0.35">
      <c r="A95" s="1"/>
      <c r="B95" s="1" t="s">
        <v>157</v>
      </c>
      <c r="C95" s="1"/>
      <c r="D95" s="1"/>
      <c r="E95" s="90"/>
      <c r="F95" s="90"/>
      <c r="G95" s="3"/>
      <c r="H95" s="3"/>
      <c r="I95" s="90">
        <v>100000</v>
      </c>
    </row>
    <row r="96" spans="1:14" ht="18" thickBot="1" x14ac:dyDescent="0.35">
      <c r="A96" s="1"/>
      <c r="B96" s="1"/>
      <c r="C96" s="1"/>
      <c r="D96" s="1"/>
      <c r="E96" s="90"/>
      <c r="F96" s="90" t="s">
        <v>114</v>
      </c>
      <c r="G96" s="95" t="s">
        <v>4</v>
      </c>
      <c r="H96" s="96">
        <f>SUM(G77:G89)</f>
        <v>139.9</v>
      </c>
      <c r="I96" s="162">
        <f>SUM(I77:I95)</f>
        <v>934000</v>
      </c>
      <c r="J96" s="241" t="s">
        <v>188</v>
      </c>
      <c r="K96" s="248">
        <f>I96/H96</f>
        <v>6676.1972837741241</v>
      </c>
      <c r="L96" s="247" t="s">
        <v>40</v>
      </c>
    </row>
    <row r="97" spans="1:13" ht="15.75" thickBot="1" x14ac:dyDescent="0.3"/>
    <row r="98" spans="1:13" ht="20.25" thickBot="1" x14ac:dyDescent="0.3">
      <c r="A98" s="355" t="s">
        <v>47</v>
      </c>
      <c r="B98" s="356"/>
      <c r="C98" s="356"/>
      <c r="D98" s="356"/>
      <c r="E98" s="417">
        <v>500000</v>
      </c>
      <c r="F98" s="418"/>
      <c r="G98" s="418"/>
      <c r="H98" s="418"/>
      <c r="I98" s="419"/>
    </row>
    <row r="99" spans="1:13" ht="17.25" x14ac:dyDescent="0.3">
      <c r="A99" s="351" t="s">
        <v>131</v>
      </c>
      <c r="B99" s="351"/>
      <c r="C99" s="351"/>
      <c r="D99" s="351"/>
      <c r="E99" s="351" t="s">
        <v>132</v>
      </c>
      <c r="F99" s="351"/>
      <c r="G99" s="351"/>
      <c r="H99" s="351"/>
      <c r="I99" s="351"/>
    </row>
    <row r="100" spans="1:13" ht="15.75" thickBot="1" x14ac:dyDescent="0.3"/>
    <row r="101" spans="1:13" ht="20.25" thickBot="1" x14ac:dyDescent="0.3">
      <c r="A101" s="355" t="s">
        <v>56</v>
      </c>
      <c r="B101" s="356"/>
      <c r="C101" s="356"/>
      <c r="D101" s="356"/>
      <c r="E101" s="356"/>
      <c r="F101" s="356"/>
      <c r="G101" s="356"/>
      <c r="H101" s="356"/>
      <c r="I101" s="357"/>
    </row>
    <row r="103" spans="1:13" ht="17.25" x14ac:dyDescent="0.25">
      <c r="A103" s="375" t="s">
        <v>29</v>
      </c>
      <c r="B103" s="376"/>
      <c r="C103" s="376"/>
      <c r="D103" s="377"/>
      <c r="E103" s="396">
        <f>IF($E$99="Medium",IF($E$98&gt;Data!J96,IF($E$98&gt;Data!J97,IF($E$98&gt;Data!J98,IF($E$98&gt;Data!J99,IF($E$98&gt;Data!J100,IF($E$98&gt;Data!J101,IF($E$98&gt;Data!J102,IF($E$98&gt;Data!J103,IF($E$98&gt;Data!J104,IF($E$98&gt;Data!J105,IF($E$98&gt;Data!J106,Data!K107,Data!K106),Data!K105),Data!K104),Data!K103),Data!K102),Data!K101),Data!K100),Data!K99),Data!K98),Data!K97),Data!K96),IF($E$98&gt;Data!J77,IF($E$98&gt;Data!J78,IF($E$98&gt;Data!J79,IF($E$98&gt;Data!J80,IF($E$98&gt;Data!J81,IF($E$98&gt;Data!J82,IF($E$98&gt;Data!J83,IF($E$98&gt;Data!J84,IF($E$98&gt;Data!J85,IF($E$98&gt;Data!J86,IF($E$98&gt;Data!J87,Data!K88,Data!K87),Data!K85),Data!K84),Data!K83),Data!K82),Data!K81),Data!K100),Data!K80),Data!K79),Data!K78),Data!K77))</f>
        <v>49085.46</v>
      </c>
      <c r="F103" s="396"/>
      <c r="G103" s="396"/>
      <c r="H103" s="396"/>
      <c r="I103" s="397"/>
    </row>
    <row r="104" spans="1:13" ht="17.25" x14ac:dyDescent="0.25">
      <c r="A104" s="352" t="s">
        <v>61</v>
      </c>
      <c r="B104" s="353"/>
      <c r="C104" s="353"/>
      <c r="D104" s="354"/>
      <c r="E104" s="333">
        <f>IF($E$99="Medium",($E$98-(VLOOKUP($E$103,Data!K96:M107,3,FALSE)))*(VLOOKUP($E$103,Data!K96:M107,2,FALSE)),($E$98-(VLOOKUP($E$103,Data!K77:M88,3,FALSE)))*(VLOOKUP($E$103,Data!K77:M88,2,FALSE)))</f>
        <v>53459.821799999998</v>
      </c>
      <c r="F104" s="333"/>
      <c r="G104" s="333"/>
      <c r="H104" s="333"/>
      <c r="I104" s="408"/>
    </row>
    <row r="105" spans="1:13" ht="17.25" x14ac:dyDescent="0.25">
      <c r="A105" s="352"/>
      <c r="B105" s="353"/>
      <c r="C105" s="353"/>
      <c r="D105" s="354"/>
      <c r="E105" s="333">
        <f>E103+E104</f>
        <v>102545.2818</v>
      </c>
      <c r="F105" s="333"/>
      <c r="G105" s="333"/>
      <c r="H105" s="333"/>
      <c r="I105" s="408"/>
    </row>
    <row r="106" spans="1:13" ht="17.25" x14ac:dyDescent="0.25">
      <c r="A106" s="352" t="s">
        <v>64</v>
      </c>
      <c r="B106" s="353"/>
      <c r="C106" s="353"/>
      <c r="D106" s="354"/>
      <c r="E106" s="322">
        <v>0</v>
      </c>
      <c r="F106" s="322"/>
      <c r="G106" s="322"/>
      <c r="H106" s="322"/>
      <c r="I106" s="411"/>
    </row>
    <row r="107" spans="1:13" ht="22.5" customHeight="1" x14ac:dyDescent="0.25">
      <c r="A107" s="405" t="s">
        <v>66</v>
      </c>
      <c r="B107" s="406"/>
      <c r="C107" s="406"/>
      <c r="D107" s="407"/>
      <c r="E107" s="409">
        <f>E105+E106</f>
        <v>102545.2818</v>
      </c>
      <c r="F107" s="409"/>
      <c r="G107" s="409"/>
      <c r="H107" s="409"/>
      <c r="I107" s="410"/>
    </row>
    <row r="108" spans="1:13" ht="15.75" thickBot="1" x14ac:dyDescent="0.3"/>
    <row r="109" spans="1:13" ht="19.5" thickBot="1" x14ac:dyDescent="0.35">
      <c r="A109" s="422" t="s">
        <v>48</v>
      </c>
      <c r="B109" s="423"/>
      <c r="C109" s="423"/>
      <c r="D109" s="424"/>
      <c r="E109" s="175" t="s">
        <v>49</v>
      </c>
      <c r="F109" s="176" t="s">
        <v>50</v>
      </c>
      <c r="G109" s="366" t="s">
        <v>51</v>
      </c>
      <c r="H109" s="394"/>
      <c r="I109" s="176" t="s">
        <v>52</v>
      </c>
    </row>
    <row r="110" spans="1:13" ht="17.25" x14ac:dyDescent="0.3">
      <c r="A110" s="168" t="s">
        <v>54</v>
      </c>
      <c r="B110" s="351" t="s">
        <v>55</v>
      </c>
      <c r="C110" s="351"/>
      <c r="D110" s="351"/>
      <c r="E110" s="169">
        <v>0.4</v>
      </c>
      <c r="F110" s="140">
        <f>$E$107*E110</f>
        <v>41018.112720000005</v>
      </c>
      <c r="G110" s="395">
        <v>0</v>
      </c>
      <c r="H110" s="395"/>
      <c r="I110" s="170">
        <f>IF(G110=0,F110,F110-(F110*G110))</f>
        <v>41018.112720000005</v>
      </c>
      <c r="K110" s="6"/>
    </row>
    <row r="111" spans="1:13" ht="17.25" x14ac:dyDescent="0.3">
      <c r="A111" s="171" t="s">
        <v>57</v>
      </c>
      <c r="B111" s="329" t="s">
        <v>58</v>
      </c>
      <c r="C111" s="329"/>
      <c r="D111" s="329"/>
      <c r="E111" s="172">
        <v>0.2</v>
      </c>
      <c r="F111" s="6">
        <f>$E$107*E111</f>
        <v>20509.056360000002</v>
      </c>
      <c r="G111" s="370">
        <v>0</v>
      </c>
      <c r="H111" s="370"/>
      <c r="I111" s="148">
        <f>IF(G111=0,F111,F111-(F111*G111))</f>
        <v>20509.056360000002</v>
      </c>
      <c r="K111" s="6"/>
      <c r="L111" s="157"/>
      <c r="M111" s="157"/>
    </row>
    <row r="112" spans="1:13" ht="17.25" x14ac:dyDescent="0.3">
      <c r="A112" s="171" t="s">
        <v>75</v>
      </c>
      <c r="B112" s="329" t="s">
        <v>59</v>
      </c>
      <c r="C112" s="329"/>
      <c r="D112" s="329"/>
      <c r="E112" s="172">
        <v>0.1</v>
      </c>
      <c r="F112" s="6">
        <f>$E$107*E112</f>
        <v>10254.528180000001</v>
      </c>
      <c r="G112" s="370">
        <v>0</v>
      </c>
      <c r="H112" s="370"/>
      <c r="I112" s="148">
        <f>IF(G112=0,F112,F112-(F112*G112))</f>
        <v>10254.528180000001</v>
      </c>
      <c r="K112" s="6"/>
      <c r="L112" s="157"/>
      <c r="M112" s="157"/>
    </row>
    <row r="113" spans="1:13" ht="18" thickBot="1" x14ac:dyDescent="0.35">
      <c r="A113" s="173" t="s">
        <v>62</v>
      </c>
      <c r="B113" s="365" t="s">
        <v>63</v>
      </c>
      <c r="C113" s="365"/>
      <c r="D113" s="365"/>
      <c r="E113" s="174">
        <v>0.3</v>
      </c>
      <c r="F113" s="146">
        <f>$E$107*E113</f>
        <v>30763.584539999996</v>
      </c>
      <c r="G113" s="371">
        <v>1</v>
      </c>
      <c r="H113" s="371"/>
      <c r="I113" s="147">
        <f>IF(G113=0,F113,F113-(F113*G113))</f>
        <v>0</v>
      </c>
      <c r="K113" s="6"/>
      <c r="L113" s="157"/>
      <c r="M113" s="157"/>
    </row>
    <row r="114" spans="1:13" ht="18" thickBot="1" x14ac:dyDescent="0.35">
      <c r="A114" s="1"/>
      <c r="B114" s="1"/>
      <c r="C114" s="1"/>
      <c r="F114" s="1"/>
      <c r="G114" s="351"/>
      <c r="H114" s="351"/>
      <c r="I114" s="1"/>
    </row>
    <row r="115" spans="1:13" ht="19.5" thickBot="1" x14ac:dyDescent="0.35">
      <c r="A115" s="1"/>
      <c r="B115" s="1"/>
      <c r="C115" s="1"/>
      <c r="F115" s="366" t="s">
        <v>140</v>
      </c>
      <c r="G115" s="367"/>
      <c r="H115" s="367"/>
      <c r="I115" s="182">
        <f>I116*(1-(SUM(I110:I113)/I116))</f>
        <v>30763.584539999996</v>
      </c>
      <c r="K115" s="180"/>
    </row>
    <row r="116" spans="1:13" ht="19.5" thickBot="1" x14ac:dyDescent="0.35">
      <c r="B116" s="177"/>
      <c r="C116" s="177"/>
      <c r="F116" s="366" t="s">
        <v>65</v>
      </c>
      <c r="G116" s="367"/>
      <c r="H116" s="367"/>
      <c r="I116" s="182">
        <f>SUM(F110:F113)</f>
        <v>102545.28180000001</v>
      </c>
    </row>
    <row r="117" spans="1:13" ht="15.75" thickBot="1" x14ac:dyDescent="0.3"/>
    <row r="118" spans="1:13" ht="18.75" thickBot="1" x14ac:dyDescent="0.3">
      <c r="F118" s="368" t="s">
        <v>139</v>
      </c>
      <c r="G118" s="369"/>
      <c r="H118" s="369"/>
      <c r="I118" s="178">
        <f>I116-I115</f>
        <v>71781.697260000015</v>
      </c>
      <c r="L118" s="181">
        <f>I118/2</f>
        <v>35890.848630000008</v>
      </c>
    </row>
    <row r="119" spans="1:13" x14ac:dyDescent="0.25">
      <c r="L119" s="179"/>
    </row>
    <row r="120" spans="1:13" x14ac:dyDescent="0.25">
      <c r="D120" s="364"/>
      <c r="E120" s="364"/>
    </row>
    <row r="121" spans="1:13" x14ac:dyDescent="0.25">
      <c r="D121" s="364"/>
      <c r="E121" s="364"/>
    </row>
    <row r="122" spans="1:13" x14ac:dyDescent="0.25">
      <c r="D122" s="364"/>
      <c r="E122" s="364"/>
    </row>
  </sheetData>
  <mergeCells count="139">
    <mergeCell ref="A1:I16"/>
    <mergeCell ref="A17:I17"/>
    <mergeCell ref="H55:I55"/>
    <mergeCell ref="H65:I65"/>
    <mergeCell ref="F36:G36"/>
    <mergeCell ref="H36:I36"/>
    <mergeCell ref="F37:G37"/>
    <mergeCell ref="H37:I37"/>
    <mergeCell ref="A61:B61"/>
    <mergeCell ref="H61:I61"/>
    <mergeCell ref="A62:B62"/>
    <mergeCell ref="H62:I62"/>
    <mergeCell ref="A19:C19"/>
    <mergeCell ref="A20:C20"/>
    <mergeCell ref="A32:B32"/>
    <mergeCell ref="A34:B34"/>
    <mergeCell ref="H34:I34"/>
    <mergeCell ref="A24:B24"/>
    <mergeCell ref="H24:I24"/>
    <mergeCell ref="H20:I20"/>
    <mergeCell ref="A36:B36"/>
    <mergeCell ref="A48:C48"/>
    <mergeCell ref="A49:C49"/>
    <mergeCell ref="H23:I23"/>
    <mergeCell ref="H27:I27"/>
    <mergeCell ref="A66:B66"/>
    <mergeCell ref="H66:I66"/>
    <mergeCell ref="H67:I67"/>
    <mergeCell ref="H57:I57"/>
    <mergeCell ref="H58:I58"/>
    <mergeCell ref="H21:I21"/>
    <mergeCell ref="H22:I22"/>
    <mergeCell ref="A50:B50"/>
    <mergeCell ref="H50:I50"/>
    <mergeCell ref="H35:I35"/>
    <mergeCell ref="H40:I40"/>
    <mergeCell ref="H41:I41"/>
    <mergeCell ref="B51:C51"/>
    <mergeCell ref="B28:C28"/>
    <mergeCell ref="H31:I31"/>
    <mergeCell ref="H32:I32"/>
    <mergeCell ref="A25:B25"/>
    <mergeCell ref="H25:I25"/>
    <mergeCell ref="H30:I30"/>
    <mergeCell ref="H28:I28"/>
    <mergeCell ref="F38:G38"/>
    <mergeCell ref="H38:I38"/>
    <mergeCell ref="A38:C38"/>
    <mergeCell ref="A109:D109"/>
    <mergeCell ref="B31:C31"/>
    <mergeCell ref="H33:I33"/>
    <mergeCell ref="B56:C56"/>
    <mergeCell ref="H56:I56"/>
    <mergeCell ref="B78:C78"/>
    <mergeCell ref="B79:C79"/>
    <mergeCell ref="B81:C81"/>
    <mergeCell ref="C80:D80"/>
    <mergeCell ref="C82:D82"/>
    <mergeCell ref="B84:D84"/>
    <mergeCell ref="B85:D85"/>
    <mergeCell ref="B86:D86"/>
    <mergeCell ref="A54:B54"/>
    <mergeCell ref="A64:B64"/>
    <mergeCell ref="A75:B75"/>
    <mergeCell ref="A76:D76"/>
    <mergeCell ref="A65:B65"/>
    <mergeCell ref="D70:F70"/>
    <mergeCell ref="H70:I70"/>
    <mergeCell ref="H49:I49"/>
    <mergeCell ref="H63:I63"/>
    <mergeCell ref="B55:C55"/>
    <mergeCell ref="B52:C52"/>
    <mergeCell ref="H60:I60"/>
    <mergeCell ref="A106:D106"/>
    <mergeCell ref="A107:D107"/>
    <mergeCell ref="E104:I104"/>
    <mergeCell ref="E105:I105"/>
    <mergeCell ref="E107:I107"/>
    <mergeCell ref="E106:I106"/>
    <mergeCell ref="B53:C53"/>
    <mergeCell ref="H53:I53"/>
    <mergeCell ref="D69:F69"/>
    <mergeCell ref="H69:I69"/>
    <mergeCell ref="A60:B60"/>
    <mergeCell ref="E98:I98"/>
    <mergeCell ref="E99:I99"/>
    <mergeCell ref="B92:D92"/>
    <mergeCell ref="B87:D87"/>
    <mergeCell ref="B88:D88"/>
    <mergeCell ref="B89:D89"/>
    <mergeCell ref="B90:D90"/>
    <mergeCell ref="K35:M35"/>
    <mergeCell ref="K38:M38"/>
    <mergeCell ref="N42:P42"/>
    <mergeCell ref="N43:P43"/>
    <mergeCell ref="J22:J25"/>
    <mergeCell ref="B29:C29"/>
    <mergeCell ref="H29:I29"/>
    <mergeCell ref="G109:H109"/>
    <mergeCell ref="G110:H110"/>
    <mergeCell ref="E103:I103"/>
    <mergeCell ref="E76:F76"/>
    <mergeCell ref="G76:H76"/>
    <mergeCell ref="H42:I42"/>
    <mergeCell ref="F41:G41"/>
    <mergeCell ref="F42:G42"/>
    <mergeCell ref="H71:I71"/>
    <mergeCell ref="H52:I52"/>
    <mergeCell ref="H54:I54"/>
    <mergeCell ref="H64:I64"/>
    <mergeCell ref="K43:M43"/>
    <mergeCell ref="K50:M50"/>
    <mergeCell ref="K60:M60"/>
    <mergeCell ref="K42:M42"/>
    <mergeCell ref="H51:I51"/>
    <mergeCell ref="B110:D110"/>
    <mergeCell ref="A104:D104"/>
    <mergeCell ref="A105:D105"/>
    <mergeCell ref="A101:I101"/>
    <mergeCell ref="A30:E30"/>
    <mergeCell ref="A27:E27"/>
    <mergeCell ref="A21:E21"/>
    <mergeCell ref="D121:E121"/>
    <mergeCell ref="D122:E122"/>
    <mergeCell ref="B111:D111"/>
    <mergeCell ref="B112:D112"/>
    <mergeCell ref="B113:D113"/>
    <mergeCell ref="F115:H115"/>
    <mergeCell ref="F116:H116"/>
    <mergeCell ref="F118:H118"/>
    <mergeCell ref="G114:H114"/>
    <mergeCell ref="D120:E120"/>
    <mergeCell ref="G111:H111"/>
    <mergeCell ref="G112:H112"/>
    <mergeCell ref="G113:H113"/>
    <mergeCell ref="B91:D91"/>
    <mergeCell ref="A103:D103"/>
    <mergeCell ref="A99:D99"/>
    <mergeCell ref="A98:D98"/>
  </mergeCells>
  <dataValidations count="2">
    <dataValidation type="list" allowBlank="1" showInputMessage="1" showErrorMessage="1" sqref="E99" xr:uid="{A7818786-B2B9-4291-9E11-4930828A1787}">
      <formula1>"Medium,High"</formula1>
    </dataValidation>
    <dataValidation type="list" allowBlank="1" showInputMessage="1" showErrorMessage="1" sqref="D31:D34 D22:D26 D28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457"/>
      <c r="B2" s="457"/>
      <c r="C2" s="457"/>
      <c r="D2" s="457"/>
      <c r="E2" s="457"/>
      <c r="H2" s="439" t="s">
        <v>87</v>
      </c>
      <c r="I2" s="439"/>
    </row>
    <row r="3" spans="1:19" ht="21" thickBot="1" x14ac:dyDescent="0.35">
      <c r="A3" s="457"/>
      <c r="B3" s="457"/>
      <c r="C3" s="457"/>
      <c r="D3" s="457"/>
      <c r="E3" s="457"/>
      <c r="H3" s="355" t="s">
        <v>18</v>
      </c>
      <c r="I3" s="356"/>
      <c r="J3" s="356"/>
      <c r="K3" s="497"/>
      <c r="L3" s="498" t="s">
        <v>20</v>
      </c>
      <c r="M3" s="499"/>
      <c r="N3" s="498" t="s">
        <v>19</v>
      </c>
      <c r="O3" s="499"/>
      <c r="P3" s="498" t="s">
        <v>21</v>
      </c>
      <c r="Q3" s="500"/>
      <c r="R3" s="501"/>
    </row>
    <row r="4" spans="1:19" x14ac:dyDescent="0.3">
      <c r="A4" s="457"/>
      <c r="B4" s="457"/>
      <c r="C4" s="457"/>
      <c r="D4" s="457"/>
      <c r="E4" s="457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457"/>
      <c r="B5" s="457"/>
      <c r="C5" s="457"/>
      <c r="D5" s="457"/>
      <c r="E5" s="457"/>
      <c r="H5" s="1" t="s">
        <v>130</v>
      </c>
      <c r="I5" s="49" t="s">
        <v>129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457"/>
      <c r="B6" s="457"/>
      <c r="C6" s="457"/>
      <c r="D6" s="457"/>
      <c r="E6" s="457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457"/>
      <c r="B7" s="457"/>
      <c r="C7" s="457"/>
      <c r="D7" s="457"/>
      <c r="E7" s="457"/>
      <c r="L7" s="90"/>
      <c r="M7" s="90"/>
      <c r="N7" s="5"/>
      <c r="P7" s="127">
        <f>N7*L7</f>
        <v>0</v>
      </c>
    </row>
    <row r="8" spans="1:19" x14ac:dyDescent="0.3">
      <c r="A8" s="457"/>
      <c r="B8" s="457"/>
      <c r="C8" s="457"/>
      <c r="D8" s="457"/>
      <c r="E8" s="457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457"/>
      <c r="B9" s="457"/>
      <c r="C9" s="457"/>
      <c r="D9" s="457"/>
      <c r="E9" s="457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457"/>
      <c r="B10" s="457"/>
      <c r="C10" s="457"/>
      <c r="D10" s="457"/>
      <c r="E10" s="457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457"/>
      <c r="B11" s="457"/>
      <c r="C11" s="457"/>
      <c r="D11" s="457"/>
      <c r="E11" s="457"/>
    </row>
    <row r="12" spans="1:19" ht="21" thickBot="1" x14ac:dyDescent="0.35">
      <c r="A12" s="457"/>
      <c r="B12" s="457"/>
      <c r="C12" s="457"/>
      <c r="D12" s="457"/>
      <c r="E12" s="457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457"/>
      <c r="B13" s="457"/>
      <c r="C13" s="457"/>
      <c r="D13" s="457"/>
      <c r="E13" s="457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457"/>
      <c r="B14" s="457"/>
      <c r="C14" s="457"/>
      <c r="D14" s="457"/>
      <c r="E14" s="457"/>
    </row>
    <row r="15" spans="1:19" ht="21" thickBot="1" x14ac:dyDescent="0.35">
      <c r="A15" s="457"/>
      <c r="B15" s="457"/>
      <c r="C15" s="457"/>
      <c r="D15" s="457"/>
      <c r="E15" s="457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457"/>
      <c r="B16" s="457"/>
      <c r="C16" s="457"/>
      <c r="D16" s="457"/>
      <c r="E16" s="457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492"/>
      <c r="B17" s="492"/>
      <c r="C17" s="492"/>
      <c r="D17" s="492"/>
      <c r="E17" s="492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458" t="s">
        <v>15</v>
      </c>
      <c r="B18" s="459"/>
      <c r="C18" s="459"/>
      <c r="D18" s="459"/>
      <c r="E18" s="460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503" t="s">
        <v>97</v>
      </c>
      <c r="B19" s="503"/>
      <c r="C19" s="503"/>
      <c r="D19" s="503"/>
      <c r="E19" s="503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507" t="s">
        <v>16</v>
      </c>
      <c r="B20" s="508"/>
      <c r="C20" s="508"/>
      <c r="D20" s="509"/>
      <c r="E20" s="119" t="s">
        <v>74</v>
      </c>
      <c r="F20" s="89">
        <v>150</v>
      </c>
      <c r="G20" s="1" t="s">
        <v>17</v>
      </c>
      <c r="H20" s="463" t="s">
        <v>82</v>
      </c>
      <c r="I20" s="464"/>
      <c r="J20" s="465"/>
      <c r="L20" s="3" t="s">
        <v>86</v>
      </c>
    </row>
    <row r="21" spans="1:21" ht="18" customHeight="1" thickBot="1" x14ac:dyDescent="0.35">
      <c r="A21" s="504" t="s">
        <v>71</v>
      </c>
      <c r="B21" s="505"/>
      <c r="C21" s="505"/>
      <c r="D21" s="506"/>
      <c r="E21" s="12" t="s">
        <v>4</v>
      </c>
      <c r="F21" s="89">
        <f>E22</f>
        <v>0</v>
      </c>
      <c r="G21" s="1" t="s">
        <v>17</v>
      </c>
      <c r="H21" s="466" t="s">
        <v>77</v>
      </c>
      <c r="I21" s="443"/>
      <c r="J21" s="443"/>
      <c r="K21" s="68" t="s">
        <v>79</v>
      </c>
      <c r="L21" s="68" t="s">
        <v>80</v>
      </c>
      <c r="M21" s="68" t="s">
        <v>78</v>
      </c>
      <c r="N21" s="111" t="s">
        <v>24</v>
      </c>
      <c r="O21" s="443" t="s">
        <v>5</v>
      </c>
      <c r="P21" s="443"/>
      <c r="Q21" s="124"/>
    </row>
    <row r="22" spans="1:21" ht="18" thickBot="1" x14ac:dyDescent="0.35">
      <c r="A22" s="91"/>
      <c r="B22" s="91">
        <v>1</v>
      </c>
      <c r="C22" s="510" t="s">
        <v>72</v>
      </c>
      <c r="D22" s="510"/>
      <c r="E22" s="502">
        <v>0</v>
      </c>
      <c r="F22" s="502"/>
      <c r="G22" s="1" t="s">
        <v>17</v>
      </c>
      <c r="H22" s="361" t="s">
        <v>83</v>
      </c>
      <c r="I22" s="437"/>
      <c r="J22" s="114"/>
      <c r="K22" s="114"/>
      <c r="L22" s="120"/>
      <c r="M22" s="121">
        <f>M24+M25</f>
        <v>28</v>
      </c>
      <c r="N22" s="122">
        <f>N24+N25</f>
        <v>3.5</v>
      </c>
      <c r="O22" s="446">
        <f>SUM(O23:P25)</f>
        <v>22464</v>
      </c>
      <c r="P22" s="447"/>
      <c r="Q22" s="2"/>
      <c r="R22" s="2"/>
    </row>
    <row r="23" spans="1:21" x14ac:dyDescent="0.3">
      <c r="A23" s="91"/>
      <c r="B23" s="91">
        <v>2</v>
      </c>
      <c r="C23" s="322" t="s">
        <v>73</v>
      </c>
      <c r="D23" s="322"/>
      <c r="E23" s="322">
        <v>0</v>
      </c>
      <c r="F23" s="322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480">
        <f>M23*L23</f>
        <v>4992</v>
      </c>
      <c r="P23" s="480"/>
      <c r="Q23" s="2"/>
      <c r="R23" s="2"/>
    </row>
    <row r="24" spans="1:21" x14ac:dyDescent="0.3">
      <c r="A24" s="91"/>
      <c r="H24" s="469" t="s">
        <v>108</v>
      </c>
      <c r="I24" s="469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448">
        <f>M24*L24</f>
        <v>9984</v>
      </c>
      <c r="P24" s="477"/>
      <c r="Q24" s="2"/>
      <c r="R24" s="2"/>
    </row>
    <row r="25" spans="1:21" ht="18" thickBot="1" x14ac:dyDescent="0.35">
      <c r="H25" s="468" t="s">
        <v>85</v>
      </c>
      <c r="I25" s="468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478">
        <f>M25*L25</f>
        <v>7488</v>
      </c>
      <c r="P25" s="479"/>
      <c r="Q25" s="2"/>
      <c r="R25" s="2"/>
    </row>
    <row r="26" spans="1:21" ht="18.75" thickBot="1" x14ac:dyDescent="0.35">
      <c r="A26" s="483" t="s">
        <v>44</v>
      </c>
      <c r="B26" s="484"/>
      <c r="C26" s="484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85">
        <v>1500000</v>
      </c>
      <c r="B27" s="322"/>
      <c r="C27" s="322"/>
      <c r="D27" s="5">
        <v>500</v>
      </c>
      <c r="E27" s="5"/>
      <c r="F27" s="30">
        <v>0</v>
      </c>
      <c r="H27" s="358" t="s">
        <v>88</v>
      </c>
      <c r="I27" s="359"/>
      <c r="J27" s="110"/>
      <c r="K27" s="110"/>
      <c r="L27" s="110"/>
      <c r="M27" s="123">
        <f>M28+M29</f>
        <v>32</v>
      </c>
      <c r="N27" s="123">
        <f>N28+N29</f>
        <v>4</v>
      </c>
      <c r="O27" s="446">
        <f>SUM(O28:P30)</f>
        <v>19968</v>
      </c>
      <c r="P27" s="343"/>
      <c r="Q27" s="2"/>
      <c r="R27" s="2"/>
      <c r="S27" s="145" t="s">
        <v>103</v>
      </c>
      <c r="T27" s="144" t="s">
        <v>105</v>
      </c>
      <c r="U27" s="19"/>
    </row>
    <row r="28" spans="1:21" x14ac:dyDescent="0.3">
      <c r="A28" s="486" t="s">
        <v>46</v>
      </c>
      <c r="B28" s="487"/>
      <c r="C28" s="488"/>
      <c r="F28" s="20"/>
      <c r="H28" s="470" t="s">
        <v>89</v>
      </c>
      <c r="I28" s="470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471">
        <f>M28*L28</f>
        <v>19968</v>
      </c>
      <c r="P28" s="472"/>
      <c r="Q28" s="2"/>
      <c r="R28" s="2"/>
      <c r="S28" s="143">
        <f>N27+N22</f>
        <v>7.5</v>
      </c>
      <c r="T28" s="127">
        <f>O34/S28</f>
        <v>5657.6</v>
      </c>
      <c r="U28" s="148"/>
    </row>
    <row r="29" spans="1:21" ht="18" thickBot="1" x14ac:dyDescent="0.35">
      <c r="A29" s="489">
        <f>F27</f>
        <v>0</v>
      </c>
      <c r="B29" s="490"/>
      <c r="C29" s="490"/>
      <c r="D29" s="21">
        <f>D27</f>
        <v>500</v>
      </c>
      <c r="E29" s="21"/>
      <c r="F29" s="36">
        <f>A29/D29</f>
        <v>0</v>
      </c>
      <c r="G29" s="1" t="s">
        <v>40</v>
      </c>
      <c r="H29" s="468" t="s">
        <v>90</v>
      </c>
      <c r="I29" s="468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473">
        <f>M29*L29</f>
        <v>0</v>
      </c>
      <c r="P29" s="474"/>
      <c r="Q29" s="2"/>
      <c r="R29" s="2"/>
      <c r="S29" s="149"/>
      <c r="U29" s="148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450">
        <f>M30*L30</f>
        <v>0</v>
      </c>
      <c r="P30" s="450"/>
      <c r="Q30" s="2"/>
      <c r="R30" s="2"/>
      <c r="S30" s="149"/>
      <c r="T30" s="6"/>
      <c r="U30" s="148"/>
    </row>
    <row r="31" spans="1:21" ht="18" thickBot="1" x14ac:dyDescent="0.35">
      <c r="S31" s="150"/>
      <c r="T31" s="21" t="s">
        <v>104</v>
      </c>
      <c r="U31" s="147">
        <v>2238.1190476190477</v>
      </c>
    </row>
    <row r="32" spans="1:21" ht="17.25" customHeight="1" x14ac:dyDescent="0.3">
      <c r="H32" s="116"/>
      <c r="I32" s="116"/>
      <c r="J32" s="116"/>
      <c r="K32" s="402" t="s">
        <v>91</v>
      </c>
      <c r="L32" s="402"/>
      <c r="M32" s="402"/>
      <c r="N32" s="116"/>
      <c r="O32" s="333">
        <f>O27+O22</f>
        <v>42432</v>
      </c>
      <c r="P32" s="322"/>
    </row>
    <row r="33" spans="8:21" ht="17.25" customHeight="1" thickBot="1" x14ac:dyDescent="0.35">
      <c r="H33" s="116"/>
      <c r="I33" s="116"/>
      <c r="J33" s="116"/>
      <c r="K33" s="402" t="s">
        <v>92</v>
      </c>
      <c r="L33" s="402"/>
      <c r="M33" s="402"/>
      <c r="N33" s="117">
        <v>0</v>
      </c>
      <c r="O33" s="333">
        <f>O32*N33</f>
        <v>0</v>
      </c>
      <c r="P33" s="322"/>
      <c r="U33" s="6"/>
    </row>
    <row r="34" spans="8:21" ht="19.5" thickBot="1" x14ac:dyDescent="0.35">
      <c r="N34" s="118" t="s">
        <v>93</v>
      </c>
      <c r="O34" s="400">
        <f>O32-O33</f>
        <v>42432</v>
      </c>
      <c r="P34" s="401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463" t="s">
        <v>95</v>
      </c>
      <c r="I39" s="464"/>
      <c r="J39" s="465"/>
      <c r="L39" s="3" t="s">
        <v>86</v>
      </c>
    </row>
    <row r="40" spans="8:21" ht="18" thickBot="1" x14ac:dyDescent="0.35">
      <c r="H40" s="466" t="s">
        <v>77</v>
      </c>
      <c r="I40" s="443"/>
      <c r="J40" s="443"/>
      <c r="K40" s="68" t="s">
        <v>79</v>
      </c>
      <c r="L40" s="68" t="s">
        <v>94</v>
      </c>
      <c r="M40" s="68" t="s">
        <v>96</v>
      </c>
      <c r="N40" s="111"/>
      <c r="O40" s="443" t="s">
        <v>5</v>
      </c>
      <c r="P40" s="443"/>
    </row>
    <row r="41" spans="8:21" ht="18" thickBot="1" x14ac:dyDescent="0.35">
      <c r="H41" s="361" t="s">
        <v>83</v>
      </c>
      <c r="I41" s="437"/>
      <c r="J41" s="114"/>
      <c r="K41" s="114"/>
      <c r="L41" s="120"/>
      <c r="M41" s="121" t="s">
        <v>115</v>
      </c>
      <c r="N41" s="122" t="s">
        <v>101</v>
      </c>
      <c r="O41" s="446">
        <f>SUM(O42:P48)</f>
        <v>18331</v>
      </c>
      <c r="P41" s="447"/>
      <c r="S41" s="145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511">
        <f>M42*L42</f>
        <v>4641</v>
      </c>
      <c r="P42" s="511"/>
      <c r="S42" s="151">
        <f>SUM(O44:P46)</f>
        <v>5500</v>
      </c>
      <c r="T42" s="146">
        <f>O50+S42</f>
        <v>14000</v>
      </c>
      <c r="U42" s="151">
        <f>T42/M51</f>
        <v>280</v>
      </c>
    </row>
    <row r="43" spans="8:21" x14ac:dyDescent="0.3">
      <c r="H43" s="491" t="s">
        <v>84</v>
      </c>
      <c r="I43" s="491"/>
      <c r="J43" s="6"/>
      <c r="K43" s="6" t="s">
        <v>81</v>
      </c>
      <c r="L43" s="6">
        <v>30</v>
      </c>
      <c r="M43" s="1">
        <f>N13</f>
        <v>273</v>
      </c>
      <c r="N43" s="107"/>
      <c r="O43" s="335">
        <f t="shared" ref="O43:O48" si="0">M43*L43</f>
        <v>8190</v>
      </c>
      <c r="P43" s="335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335">
        <f t="shared" si="0"/>
        <v>0</v>
      </c>
      <c r="P44" s="335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335">
        <f t="shared" si="0"/>
        <v>0</v>
      </c>
      <c r="P45" s="329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335">
        <f t="shared" si="0"/>
        <v>5500</v>
      </c>
      <c r="P46" s="329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335">
        <f t="shared" si="0"/>
        <v>0</v>
      </c>
      <c r="P47" s="329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333">
        <f t="shared" si="0"/>
        <v>0</v>
      </c>
      <c r="P48" s="333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58" t="s">
        <v>88</v>
      </c>
      <c r="I50" s="359"/>
      <c r="J50" s="110"/>
      <c r="K50" s="110"/>
      <c r="L50" s="110"/>
      <c r="M50" s="123"/>
      <c r="N50" s="123"/>
      <c r="O50" s="446">
        <f>SUM(O51:P54)</f>
        <v>8500</v>
      </c>
      <c r="P50" s="343"/>
    </row>
    <row r="51" spans="8:20" x14ac:dyDescent="0.3">
      <c r="H51" s="470" t="s">
        <v>112</v>
      </c>
      <c r="I51" s="470"/>
      <c r="J51" s="13"/>
      <c r="K51" s="13" t="s">
        <v>81</v>
      </c>
      <c r="L51" s="43">
        <v>170</v>
      </c>
      <c r="M51" s="13">
        <f>SUM(M44:M48)</f>
        <v>50</v>
      </c>
      <c r="N51" s="115"/>
      <c r="O51" s="471">
        <f>M51*L51</f>
        <v>8500</v>
      </c>
      <c r="P51" s="472"/>
    </row>
    <row r="52" spans="8:20" x14ac:dyDescent="0.3">
      <c r="H52" s="468" t="s">
        <v>90</v>
      </c>
      <c r="I52" s="468"/>
      <c r="J52" s="49"/>
      <c r="K52" s="49" t="s">
        <v>81</v>
      </c>
      <c r="L52" s="51">
        <v>0</v>
      </c>
      <c r="M52" s="49">
        <f>SUM(M44:M48)</f>
        <v>50</v>
      </c>
      <c r="N52" s="109"/>
      <c r="O52" s="473">
        <f>M52*L52</f>
        <v>0</v>
      </c>
      <c r="P52" s="474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475">
        <f>M53*L53</f>
        <v>0</v>
      </c>
      <c r="P53" s="475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475">
        <f>M54*L54</f>
        <v>0</v>
      </c>
      <c r="P54" s="475"/>
    </row>
    <row r="55" spans="8:20" x14ac:dyDescent="0.3">
      <c r="O55" s="476"/>
      <c r="P55" s="476"/>
    </row>
    <row r="56" spans="8:20" ht="18" x14ac:dyDescent="0.3">
      <c r="H56" s="116"/>
      <c r="I56" s="116"/>
      <c r="J56" s="116"/>
      <c r="K56" s="402" t="s">
        <v>91</v>
      </c>
      <c r="L56" s="402"/>
      <c r="M56" s="402"/>
      <c r="N56" s="116"/>
      <c r="O56" s="333">
        <f>O50+O41</f>
        <v>26831</v>
      </c>
      <c r="P56" s="322"/>
    </row>
    <row r="57" spans="8:20" ht="18.75" thickBot="1" x14ac:dyDescent="0.35">
      <c r="H57" s="116"/>
      <c r="I57" s="116"/>
      <c r="J57" s="116"/>
      <c r="K57" s="402" t="s">
        <v>92</v>
      </c>
      <c r="L57" s="402"/>
      <c r="M57" s="402"/>
      <c r="N57" s="117">
        <v>0</v>
      </c>
      <c r="O57" s="333">
        <f>O56*N57</f>
        <v>0</v>
      </c>
      <c r="P57" s="322"/>
    </row>
    <row r="58" spans="8:20" ht="19.5" thickBot="1" x14ac:dyDescent="0.35">
      <c r="N58" s="118" t="s">
        <v>93</v>
      </c>
      <c r="O58" s="400">
        <f>O56-O57</f>
        <v>26831</v>
      </c>
      <c r="P58" s="401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133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495" t="s">
        <v>26</v>
      </c>
      <c r="I72" s="495"/>
      <c r="J72" s="495"/>
      <c r="K72" s="495"/>
      <c r="L72" s="495"/>
      <c r="M72" s="495"/>
      <c r="T72" s="1" t="s">
        <v>131</v>
      </c>
      <c r="U72" s="1" t="s">
        <v>132</v>
      </c>
    </row>
    <row r="73" spans="8:32" ht="18" thickBot="1" x14ac:dyDescent="0.35">
      <c r="H73" s="496" t="s">
        <v>27</v>
      </c>
      <c r="I73" s="496" t="s">
        <v>28</v>
      </c>
      <c r="J73" s="496"/>
      <c r="K73" s="496" t="s">
        <v>29</v>
      </c>
      <c r="L73" s="496" t="s">
        <v>30</v>
      </c>
      <c r="M73" s="496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496"/>
      <c r="I74" s="14"/>
      <c r="J74" s="14"/>
      <c r="K74" s="496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496"/>
      <c r="I75" s="14" t="s">
        <v>31</v>
      </c>
      <c r="J75" s="14" t="s">
        <v>32</v>
      </c>
      <c r="K75" s="496"/>
      <c r="L75" s="14" t="s">
        <v>33</v>
      </c>
      <c r="M75" s="14" t="s">
        <v>34</v>
      </c>
      <c r="T75" s="493" t="s">
        <v>56</v>
      </c>
      <c r="U75" s="494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496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81" t="s">
        <v>65</v>
      </c>
      <c r="X79" s="482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134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0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0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134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3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3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2024-09-20T11:12:34Z</dcterms:modified>
</cp:coreProperties>
</file>