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Hinterveld\"/>
    </mc:Choice>
  </mc:AlternateContent>
  <xr:revisionPtr revIDLastSave="0" documentId="8_{ADAACDA7-66F4-486E-B524-F3682EBAA133}" xr6:coauthVersionLast="47" xr6:coauthVersionMax="47" xr10:uidLastSave="{00000000-0000-0000-0000-000000000000}"/>
  <bookViews>
    <workbookView xWindow="0" yWindow="480" windowWidth="29040" windowHeight="15720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7" i="5" l="1"/>
  <c r="J96" i="5" s="1"/>
  <c r="I96" i="5"/>
  <c r="F96" i="5"/>
  <c r="J87" i="5"/>
  <c r="J78" i="5"/>
  <c r="F19" i="5"/>
  <c r="H19" i="5" s="1"/>
  <c r="F18" i="5"/>
  <c r="H18" i="5" s="1"/>
  <c r="H36" i="5"/>
  <c r="G17" i="5" l="1"/>
  <c r="G16" i="5"/>
  <c r="H38" i="5"/>
  <c r="H34" i="5" s="1"/>
  <c r="H37" i="5"/>
  <c r="H102" i="5" l="1"/>
  <c r="H96" i="5"/>
  <c r="K15" i="5" l="1"/>
  <c r="K23" i="5" s="1"/>
  <c r="F16" i="3" l="1"/>
  <c r="F20" i="3"/>
  <c r="F87" i="5"/>
  <c r="H59" i="5"/>
  <c r="E61" i="5" s="1"/>
  <c r="G59" i="5"/>
  <c r="G15" i="5"/>
  <c r="G15" i="3"/>
  <c r="F18" i="3"/>
  <c r="H18" i="3" s="1"/>
  <c r="F19" i="3"/>
  <c r="E18" i="3"/>
  <c r="F17" i="3"/>
  <c r="K78" i="3"/>
  <c r="H96" i="3"/>
  <c r="F81" i="3"/>
  <c r="H44" i="5" l="1"/>
  <c r="H46" i="5" s="1"/>
  <c r="H17" i="5"/>
  <c r="H16" i="5"/>
  <c r="F15" i="5"/>
  <c r="E66" i="5"/>
  <c r="E67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5" i="5" s="1"/>
  <c r="E68" i="5"/>
  <c r="E70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H26" i="5" l="1"/>
  <c r="H27" i="5" s="1"/>
  <c r="K14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H33" i="3"/>
  <c r="H40" i="3" s="1"/>
  <c r="H42" i="3" s="1"/>
  <c r="L64" i="2"/>
  <c r="H53" i="3"/>
  <c r="M55" i="3"/>
  <c r="F15" i="3"/>
  <c r="H21" i="1"/>
  <c r="M15" i="3"/>
  <c r="K16" i="5" l="1"/>
  <c r="K19" i="5" s="1"/>
  <c r="K27" i="5"/>
  <c r="J38" i="5"/>
  <c r="K38" i="5" s="1"/>
  <c r="H89" i="5"/>
  <c r="H82" i="5"/>
  <c r="H73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62" i="3"/>
  <c r="E64" i="3" s="1"/>
  <c r="E20" i="1"/>
  <c r="E19" i="1"/>
  <c r="G19" i="1" s="1"/>
  <c r="K25" i="2"/>
  <c r="K44" i="2"/>
  <c r="H100" i="5" l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<sst xmlns="http://schemas.openxmlformats.org/spreadsheetml/2006/main" count="361" uniqueCount="208">
  <si>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</si>
  <si>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</si>
  <si>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</si>
  <si>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</si>
  <si>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</si>
  <si>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</si>
  <si>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</si>
  <si>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</si>
  <si>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</si>
  <si>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</si>
  <si>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</si>
  <si>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</si>
  <si>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</si>
  <si>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</si>
  <si>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</si>
  <si>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</si>
  <si>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</si>
  <si>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</si>
  <si>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</si>
  <si>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</si>
  <si>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</si>
  <si>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</si>
  <si>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</si>
  <si>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</si>
  <si>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</si>
  <si>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</si>
  <si>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</si>
  <si>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</si>
  <si>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</si>
  <si>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</si>
  <si>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</si>
  <si>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</si>
  <si>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</si>
  <si>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</si>
  <si>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</si>
  <si>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</si>
  <si>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</si>
  <si>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</si>
  <si>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</si>
  <si>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</si>
  <si>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</si>
  <si>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</si>
  <si>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</si>
  <si>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</si>
  <si>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</si>
  <si>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</si>
  <si>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</si>
  <si>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</si>
  <si>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</si>
  <si>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</si>
  <si>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</si>
  <si>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</si>
  <si>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</si>
  <si>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</si>
  <si>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</si>
  <si>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</si>
  <si>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</si>
  <si>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</si>
  <si>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</si>
  <si>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</si>
  <si>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</si>
  <si>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</si>
  <si>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</si>
  <si>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</si>
  <si>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</si>
  <si>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</si>
  <si>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</si>
  <si>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</si>
  <si>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</si>
  <si>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</si>
  <si>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</si>
  <si>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</si>
  <si>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</si>
  <si>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</si>
  <si>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</si>
  <si>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</si>
  <si>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</si>
  <si>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</si>
  <si>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</si>
  <si>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</si>
  <si>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</si>
  <si>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</si>
  <si>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</si>
  <si>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</si>
  <si>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</si>
  <si>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</si>
  <si>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</si>
  <si>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</si>
  <si>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</si>
  <si>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</si>
  <si>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</si>
  <si>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</si>
  <si>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</si>
  <si>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</si>
  <si>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</si>
  <si>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</si>
  <si>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</si>
  <si>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</si>
  <si>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</si>
  <si>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</si>
  <si>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</si>
  <si>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</si>
  <si>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</si>
  <si>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</si>
  <si>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</si>
  <si>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</si>
  <si>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</si>
  <si>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</si>
  <si>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</si>
  <si>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</si>
  <si>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</si>
  <si>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</si>
  <si>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</si>
  <si>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</si>
  <si>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</si>
  <si>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</si>
  <si>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</si>
  <si>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</si>
  <si>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</si>
  <si>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</si>
  <si>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</si>
  <si>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</si>
  <si>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</si>
  <si>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</si>
  <si>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</si>
  <si>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</si>
  <si>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</si>
  <si>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</si>
  <si>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</si>
  <si>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</si>
  <si>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</si>
  <si>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</si>
  <si>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</si>
  <si>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</si>
  <si>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</si>
  <si>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</si>
  <si>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</si>
  <si>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</si>
  <si>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</si>
  <si>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</si>
  <si>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</si>
  <si>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</si>
  <si>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</si>
  <si>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</si>
  <si>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</si>
  <si>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</si>
  <si>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</si>
  <si>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</si>
  <si>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</si>
  <si>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</si>
  <si>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</si>
  <si>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</si>
  <si>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</si>
  <si>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</si>
  <si>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</si>
  <si>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</si>
  <si>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</si>
  <si>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</si>
  <si>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</si>
  <si>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</si>
  <si>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</si>
  <si>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</si>
  <si>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</si>
  <si>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</si>
  <si>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</si>
  <si>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</si>
  <si>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</si>
  <si>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</si>
  <si>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</si>
  <si>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</si>
  <si>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</si>
  <si>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</si>
  <si>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</si>
  <si>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</si>
  <si>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</si>
  <si>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</si>
  <si>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</si>
  <si>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</si>
  <si>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</si>
  <si>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</si>
  <si>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</si>
  <si>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</si>
  <si>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</si>
  <si>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Site visits</t>
  </si>
  <si>
    <t>Design + 3D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</si>
  <si>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</si>
  <si>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</si>
  <si>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</si>
  <si>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</si>
  <si>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</si>
  <si>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</si>
  <si>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</si>
  <si>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</si>
  <si>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</si>
  <si>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</si>
  <si>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</si>
  <si>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</si>
  <si>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</si>
  <si>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</si>
  <si>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</si>
  <si>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</si>
  <si>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</si>
  <si>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</si>
  <si>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Yard Area (Measure + Draw)</t>
  </si>
  <si>
    <t>Redraw existing 2D + 3D</t>
  </si>
  <si>
    <t>Measure + Drawing Yard</t>
  </si>
  <si>
    <t>Redrawing 2D into 3D</t>
  </si>
  <si>
    <t>Design of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</si>
</sst>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  <numFmt numFmtId="172" formatCode="General&quot; Days&quot;"/>
    <numFmt numFmtId="173" formatCode="General&quot; km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6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3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4" fillId="11" borderId="53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44" fontId="8" fillId="11" borderId="53" xfId="0" applyNumberFormat="1" applyFont="1" applyFill="1" applyBorder="1" applyAlignment="1">
      <alignment horizontal="center" vertical="top"/>
    </xf>
    <xf numFmtId="44" fontId="8" fillId="11" borderId="24" xfId="0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13" sqref="G13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98" t="s">
        <v>7</v>
      </c>
      <c r="B11" s="299"/>
      <c r="C11" s="299"/>
      <c r="D11" s="299"/>
      <c r="E11" s="299"/>
      <c r="F11" s="299"/>
      <c r="G11" s="299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302" t="s">
        <v>11</v>
      </c>
      <c r="F12" s="302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300" t="s">
        <v>8</v>
      </c>
      <c r="B17" s="300"/>
      <c r="C17" s="300"/>
      <c r="D17" s="300"/>
      <c r="E17" s="300"/>
      <c r="F17" s="300"/>
      <c r="G17" s="300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301">
        <f>G19*D19</f>
        <v>5376</v>
      </c>
      <c r="I19" s="301"/>
      <c r="J19" s="301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97">
        <f>G20*D20</f>
        <v>5000</v>
      </c>
      <c r="I20" s="297"/>
      <c r="J20" s="297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97">
        <f>G21*D21</f>
        <v>3160</v>
      </c>
      <c r="I21" s="297"/>
      <c r="J21" s="297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19" t="s">
        <v>81</v>
      </c>
      <c r="B15" s="320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303" t="s">
        <v>75</v>
      </c>
      <c r="K15" s="304"/>
      <c r="L15" s="305"/>
      <c r="M15" s="166">
        <f>G15</f>
        <v>10.5</v>
      </c>
    </row>
    <row r="16" spans="1:13" ht="17.25" x14ac:dyDescent="0.3">
      <c r="A16" s="196" t="s">
        <v>180</v>
      </c>
      <c r="B16" s="309"/>
      <c r="C16" s="309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318" t="s">
        <v>177</v>
      </c>
      <c r="B17" s="318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>F17*E17</f>
        <v>15800</v>
      </c>
      <c r="I17" s="1"/>
      <c r="M17" s="3"/>
    </row>
    <row r="18" spans="1:14" ht="18" thickBot="1" x14ac:dyDescent="0.35">
      <c r="A18" s="318" t="s">
        <v>178</v>
      </c>
      <c r="B18" s="318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>F18*E18</f>
        <v>6320</v>
      </c>
      <c r="I18" s="1"/>
      <c r="M18" s="3"/>
    </row>
    <row r="19" spans="1:14" ht="18" thickBot="1" x14ac:dyDescent="0.35">
      <c r="A19" s="318" t="s">
        <v>181</v>
      </c>
      <c r="B19" s="318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306" t="s">
        <v>78</v>
      </c>
      <c r="K19" s="307"/>
      <c r="L19" s="308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318"/>
      <c r="B22" s="318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>F36*E36</f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0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0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0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0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0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0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0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0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25">
        <f>H53</f>
        <v>880000</v>
      </c>
      <c r="F55" s="326"/>
      <c r="G55" s="326"/>
      <c r="H55" s="327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28" t="s">
        <v>163</v>
      </c>
      <c r="F56" s="328"/>
      <c r="G56" s="328"/>
      <c r="H56" s="328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131870.39000000001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30842.865900000001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162713.25590000002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162713.25590000002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3254.2651180000003</v>
      </c>
      <c r="G67" s="114">
        <v>0.3</v>
      </c>
      <c r="H67" s="115">
        <f>IF(G67=0,F67,F67-(F67*G67))</f>
        <v>2277.9855826000003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1">$E$64*E68</f>
        <v>24406.988385000001</v>
      </c>
      <c r="G68" s="257">
        <v>0.3</v>
      </c>
      <c r="H68" s="87">
        <f t="shared" ref="H68:H73" si="2">IF(G68=0,F68,F68-(F68*G68))</f>
        <v>17084.891869499999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1"/>
        <v>32542.651180000004</v>
      </c>
      <c r="G69" s="257">
        <v>0.3</v>
      </c>
      <c r="H69" s="87">
        <f t="shared" si="2"/>
        <v>22779.855826000003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1"/>
        <v>16271.325590000002</v>
      </c>
      <c r="G70" s="257">
        <v>0.2</v>
      </c>
      <c r="H70" s="87">
        <f t="shared" si="2"/>
        <v>13017.060472000001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1"/>
        <v>32542.651180000004</v>
      </c>
      <c r="G71" s="257">
        <v>0.2</v>
      </c>
      <c r="H71" s="87">
        <f>IF(G71=0,F71,F71-(F71*G71))</f>
        <v>26034.120944000002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1"/>
        <v>48813.976770000001</v>
      </c>
      <c r="G72" s="257">
        <v>0</v>
      </c>
      <c r="H72" s="87">
        <f>IF(G72=0,F72,F72-(F72*G72))</f>
        <v>48813.976770000001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1"/>
        <v>4881.3976769999999</v>
      </c>
      <c r="G73" s="116">
        <v>0</v>
      </c>
      <c r="H73" s="86">
        <f t="shared" si="2"/>
        <v>4881.3976769999999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22" t="s">
        <v>96</v>
      </c>
      <c r="F75" s="323"/>
      <c r="G75" s="324"/>
      <c r="H75" s="122">
        <f>H76*(1-(SUM(H67:H73)/H76))</f>
        <v>27823.966758900009</v>
      </c>
    </row>
    <row r="76" spans="1:11" ht="19.5" thickBot="1" x14ac:dyDescent="0.35">
      <c r="B76" s="118"/>
      <c r="C76" s="118"/>
      <c r="E76" s="322" t="s">
        <v>55</v>
      </c>
      <c r="F76" s="323"/>
      <c r="G76" s="324"/>
      <c r="H76" s="122">
        <f>SUM(F67:F73)</f>
        <v>162713.25590000002</v>
      </c>
    </row>
    <row r="77" spans="1:11" ht="15.75" thickBot="1" x14ac:dyDescent="0.3"/>
    <row r="78" spans="1:11" ht="18.75" thickBot="1" x14ac:dyDescent="0.3">
      <c r="E78" s="334" t="s">
        <v>124</v>
      </c>
      <c r="F78" s="335"/>
      <c r="G78" s="336"/>
      <c r="H78" s="119">
        <f>H76-H75</f>
        <v>134889.28914110002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32" t="s">
        <v>173</v>
      </c>
      <c r="E81" s="333"/>
      <c r="F81" s="269">
        <f>COUNT(D86:E91)</f>
        <v>4</v>
      </c>
      <c r="G81" s="259"/>
      <c r="H81" s="260">
        <f>SUM(H72:H73)/F81</f>
        <v>13423.84361175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32" t="s">
        <v>176</v>
      </c>
      <c r="E83" s="333"/>
      <c r="F83" s="266">
        <f>H83/850</f>
        <v>0.78963785951470589</v>
      </c>
      <c r="G83" s="261"/>
      <c r="H83" s="260">
        <f>H81/20</f>
        <v>671.19218058750005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31" t="s">
        <v>159</v>
      </c>
      <c r="E85" s="329"/>
      <c r="F85" s="329" t="s">
        <v>160</v>
      </c>
      <c r="G85" s="329"/>
      <c r="H85" s="262" t="s">
        <v>161</v>
      </c>
    </row>
    <row r="86" spans="4:13" ht="17.25" x14ac:dyDescent="0.3">
      <c r="D86" s="317">
        <v>1</v>
      </c>
      <c r="E86" s="317"/>
      <c r="F86" s="330">
        <v>2</v>
      </c>
      <c r="G86" s="330"/>
      <c r="H86" s="263">
        <f>$H$81</f>
        <v>13423.84361175</v>
      </c>
    </row>
    <row r="87" spans="4:13" ht="17.25" x14ac:dyDescent="0.3">
      <c r="D87" s="330">
        <v>2</v>
      </c>
      <c r="E87" s="330"/>
      <c r="F87" s="330">
        <v>2</v>
      </c>
      <c r="G87" s="330"/>
      <c r="H87" s="263">
        <f>$H$81</f>
        <v>13423.84361175</v>
      </c>
    </row>
    <row r="88" spans="4:13" ht="17.25" x14ac:dyDescent="0.3">
      <c r="D88" s="330">
        <v>3</v>
      </c>
      <c r="E88" s="330"/>
      <c r="F88" s="330">
        <v>4</v>
      </c>
      <c r="G88" s="330"/>
      <c r="H88" s="263">
        <f>$H$81</f>
        <v>13423.84361175</v>
      </c>
    </row>
    <row r="89" spans="4:13" ht="17.25" x14ac:dyDescent="0.3">
      <c r="D89" s="330">
        <v>4</v>
      </c>
      <c r="E89" s="330"/>
      <c r="F89" s="330">
        <v>4</v>
      </c>
      <c r="G89" s="330"/>
      <c r="H89" s="263">
        <f>$H$81</f>
        <v>13423.84361175</v>
      </c>
    </row>
    <row r="90" spans="4:13" ht="17.25" x14ac:dyDescent="0.3">
      <c r="D90" s="330"/>
      <c r="E90" s="330"/>
      <c r="F90" s="330"/>
      <c r="G90" s="330"/>
      <c r="H90" s="263"/>
    </row>
    <row r="91" spans="4:13" ht="17.25" x14ac:dyDescent="0.3">
      <c r="D91" s="330"/>
      <c r="E91" s="330"/>
      <c r="F91" s="330"/>
      <c r="G91" s="330"/>
      <c r="H91" s="263"/>
    </row>
    <row r="92" spans="4:13" ht="17.25" x14ac:dyDescent="0.3">
      <c r="D92" s="330"/>
      <c r="E92" s="330"/>
      <c r="F92" s="330"/>
      <c r="G92" s="330"/>
      <c r="H92" s="263"/>
    </row>
    <row r="94" spans="4:13" ht="22.5" customHeight="1" x14ac:dyDescent="0.3">
      <c r="D94" s="331" t="s">
        <v>174</v>
      </c>
      <c r="E94" s="329"/>
      <c r="F94" s="329"/>
      <c r="G94" s="329"/>
      <c r="H94" s="260">
        <f>SUM(H86:H91)</f>
        <v>53695.374447000002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321"/>
      <c r="E107" s="321"/>
    </row>
    <row r="108" spans="4:14" x14ac:dyDescent="0.25">
      <c r="D108" s="321"/>
      <c r="E108" s="321"/>
    </row>
    <row r="109" spans="4:14" x14ac:dyDescent="0.25">
      <c r="D109" s="321"/>
      <c r="E109" s="321"/>
    </row>
  </sheetData>
  <mergeCells count="39"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70" zoomScaleNormal="100" workbookViewId="0">
      <selection activeCell="F94" sqref="F94:G94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J13" s="339" t="s">
        <v>193</v>
      </c>
      <c r="K13" s="340"/>
    </row>
    <row r="14" spans="1:11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35625</v>
      </c>
    </row>
    <row r="15" spans="1:11" ht="18" thickBot="1" x14ac:dyDescent="0.35">
      <c r="A15" s="319" t="s">
        <v>81</v>
      </c>
      <c r="B15" s="320"/>
      <c r="C15" s="71"/>
      <c r="D15" s="71"/>
      <c r="E15" s="71"/>
      <c r="F15" s="76">
        <f>SUM(F16:F30)</f>
        <v>57</v>
      </c>
      <c r="G15" s="270">
        <f>SUM(G16:G22)</f>
        <v>0.25</v>
      </c>
      <c r="H15" s="201">
        <f>SUM(H16:H22)</f>
        <v>35625</v>
      </c>
      <c r="I15" s="1"/>
      <c r="J15" s="283" t="s">
        <v>185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187</v>
      </c>
      <c r="K16" s="260">
        <f>K14-K15</f>
        <v>35625</v>
      </c>
    </row>
    <row r="17" spans="1:11" ht="17.25" x14ac:dyDescent="0.3">
      <c r="A17" s="1" t="s">
        <v>205</v>
      </c>
      <c r="D17" s="60" t="s">
        <v>2</v>
      </c>
      <c r="E17" s="60">
        <v>625</v>
      </c>
      <c r="F17" s="3">
        <v>2</v>
      </c>
      <c r="G17" s="197">
        <f>F17/8</f>
        <v>0.25</v>
      </c>
      <c r="H17" s="199">
        <f>F17*E17</f>
        <v>1250</v>
      </c>
      <c r="I17" s="1"/>
    </row>
    <row r="18" spans="1:11" ht="17.25" x14ac:dyDescent="0.3">
      <c r="A18" s="1" t="s">
        <v>206</v>
      </c>
      <c r="D18" s="60" t="s">
        <v>2</v>
      </c>
      <c r="E18" s="60">
        <v>625</v>
      </c>
      <c r="F18" s="3">
        <f>8*5</f>
        <v>40</v>
      </c>
      <c r="G18" s="197"/>
      <c r="H18" s="199">
        <f>F18*E18</f>
        <v>25000</v>
      </c>
      <c r="I18" s="1"/>
      <c r="J18" s="337" t="s">
        <v>190</v>
      </c>
      <c r="K18" s="338"/>
    </row>
    <row r="19" spans="1:11" ht="17.25" x14ac:dyDescent="0.3">
      <c r="A19" s="1" t="s">
        <v>207</v>
      </c>
      <c r="B19" s="1"/>
      <c r="C19" s="1"/>
      <c r="D19" s="60" t="s">
        <v>2</v>
      </c>
      <c r="E19" s="60">
        <v>625</v>
      </c>
      <c r="F19" s="3">
        <f>5*3</f>
        <v>15</v>
      </c>
      <c r="G19" s="197"/>
      <c r="H19" s="199">
        <f>F19*E19</f>
        <v>9375</v>
      </c>
      <c r="I19" s="1"/>
      <c r="J19" s="283" t="s">
        <v>188</v>
      </c>
      <c r="K19" s="284">
        <f>K16*0.7</f>
        <v>24937.5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7" t="s">
        <v>191</v>
      </c>
      <c r="K21" s="338"/>
    </row>
    <row r="22" spans="1:11" ht="17.25" x14ac:dyDescent="0.3">
      <c r="A22" s="318"/>
      <c r="B22" s="318"/>
      <c r="D22" s="276"/>
      <c r="E22" s="60"/>
      <c r="F22" s="3"/>
      <c r="G22" s="197"/>
      <c r="H22" s="199"/>
      <c r="I22" s="1"/>
      <c r="J22" s="277" t="s">
        <v>189</v>
      </c>
      <c r="K22" s="278">
        <f>K16-K19</f>
        <v>10687.5</v>
      </c>
    </row>
    <row r="23" spans="1:11" ht="17.25" x14ac:dyDescent="0.3">
      <c r="I23" s="1"/>
      <c r="J23" s="281" t="s">
        <v>186</v>
      </c>
      <c r="K23" s="282">
        <f>K15*0.5</f>
        <v>0</v>
      </c>
    </row>
    <row r="24" spans="1:11" ht="17.25" x14ac:dyDescent="0.3">
      <c r="I24" s="1"/>
      <c r="J24" s="238"/>
      <c r="K24" s="280">
        <f>K22+K23</f>
        <v>10687.5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35625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7" t="s">
        <v>192</v>
      </c>
      <c r="K26" s="338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35625</v>
      </c>
      <c r="I27" s="1"/>
      <c r="J27" s="277" t="s">
        <v>95</v>
      </c>
      <c r="K27" s="278">
        <f>K14</f>
        <v>35625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195</v>
      </c>
      <c r="K28" s="279">
        <f>K19+K24</f>
        <v>35625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194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03" t="s">
        <v>75</v>
      </c>
      <c r="K32" s="304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42075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203</v>
      </c>
      <c r="E36" s="129">
        <v>50</v>
      </c>
      <c r="F36" s="1">
        <v>63</v>
      </c>
      <c r="H36" s="199">
        <f>F36*E36</f>
        <v>3150</v>
      </c>
      <c r="I36" s="1"/>
    </row>
    <row r="37" spans="1:11" ht="18" thickBot="1" x14ac:dyDescent="0.35">
      <c r="A37" s="1" t="s">
        <v>204</v>
      </c>
      <c r="D37" s="60"/>
      <c r="E37" s="129">
        <v>25</v>
      </c>
      <c r="F37" s="1">
        <v>745</v>
      </c>
      <c r="H37" s="199">
        <f>F37*E37</f>
        <v>18625</v>
      </c>
      <c r="J37" s="105" t="s">
        <v>95</v>
      </c>
      <c r="K37" s="107" t="s">
        <v>88</v>
      </c>
    </row>
    <row r="38" spans="1:11" ht="17.25" x14ac:dyDescent="0.3">
      <c r="A38" s="1" t="s">
        <v>184</v>
      </c>
      <c r="D38" s="60"/>
      <c r="E38" s="129">
        <v>100</v>
      </c>
      <c r="F38" s="1">
        <v>203</v>
      </c>
      <c r="H38" s="199">
        <f>F38*E38</f>
        <v>20300</v>
      </c>
      <c r="J38" s="111">
        <f>H27</f>
        <v>35625</v>
      </c>
      <c r="K38" s="60">
        <f>J38*0.05</f>
        <v>1781.25</v>
      </c>
    </row>
    <row r="39" spans="1:11" ht="18" thickBot="1" x14ac:dyDescent="0.35">
      <c r="A39" s="196"/>
      <c r="D39" s="60"/>
      <c r="E39" s="129"/>
      <c r="F39" s="1"/>
      <c r="H39" s="199"/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18"/>
      <c r="B42" s="318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42075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201</v>
      </c>
      <c r="L52" s="207" t="s">
        <v>92</v>
      </c>
    </row>
    <row r="53" spans="1:12" ht="17.25" x14ac:dyDescent="0.3">
      <c r="A53" s="1"/>
      <c r="B53" s="61"/>
      <c r="C53" s="4"/>
      <c r="D53" s="1"/>
      <c r="E53" s="60"/>
      <c r="F53" s="286"/>
      <c r="G53" s="3"/>
      <c r="H53" s="60">
        <v>695000</v>
      </c>
      <c r="K53" s="77" t="s">
        <v>196</v>
      </c>
      <c r="L53" s="287">
        <v>250000</v>
      </c>
    </row>
    <row r="54" spans="1:12" ht="17.25" x14ac:dyDescent="0.3">
      <c r="A54" s="1"/>
      <c r="B54" s="61"/>
      <c r="F54" s="286"/>
      <c r="G54" s="3"/>
      <c r="H54" s="60"/>
      <c r="K54" s="77" t="s">
        <v>197</v>
      </c>
      <c r="L54" s="287">
        <v>167500</v>
      </c>
    </row>
    <row r="55" spans="1:12" ht="17.25" x14ac:dyDescent="0.3">
      <c r="A55" s="1"/>
      <c r="F55" s="286"/>
      <c r="H55" s="60"/>
      <c r="K55" s="77" t="s">
        <v>198</v>
      </c>
      <c r="L55" s="287">
        <v>250000</v>
      </c>
    </row>
    <row r="56" spans="1:12" ht="17.25" x14ac:dyDescent="0.3">
      <c r="A56" s="1"/>
      <c r="F56" s="286"/>
      <c r="G56" s="3"/>
      <c r="H56" s="60"/>
      <c r="K56" s="77" t="s">
        <v>200</v>
      </c>
      <c r="L56" s="287">
        <v>270000</v>
      </c>
    </row>
    <row r="57" spans="1:12" ht="17.25" x14ac:dyDescent="0.3">
      <c r="A57" s="1"/>
      <c r="F57" s="286"/>
      <c r="H57" s="60"/>
      <c r="K57" s="193" t="s">
        <v>199</v>
      </c>
      <c r="L57" s="288">
        <v>50000</v>
      </c>
    </row>
    <row r="58" spans="1:12" ht="18" thickBot="1" x14ac:dyDescent="0.35">
      <c r="A58" s="1"/>
      <c r="B58" s="1"/>
      <c r="C58" s="1"/>
      <c r="D58" s="1" t="s">
        <v>175</v>
      </c>
      <c r="E58" s="60"/>
      <c r="F58" s="60"/>
      <c r="G58" s="3"/>
      <c r="H58" s="60"/>
      <c r="L58" s="173"/>
    </row>
    <row r="59" spans="1:12" ht="19.5" thickBot="1" x14ac:dyDescent="0.35">
      <c r="A59" s="1"/>
      <c r="B59" s="1"/>
      <c r="C59" s="1"/>
      <c r="D59" s="1"/>
      <c r="E59" s="129"/>
      <c r="F59" s="62" t="s">
        <v>3</v>
      </c>
      <c r="G59" s="63">
        <f>SUM(G52:G55)</f>
        <v>0</v>
      </c>
      <c r="H59" s="98">
        <f>SUM(H52:H58)</f>
        <v>695000</v>
      </c>
      <c r="K59" s="289" t="s">
        <v>202</v>
      </c>
      <c r="L59" s="290">
        <v>987500</v>
      </c>
    </row>
    <row r="60" spans="1:12" ht="15.75" thickBot="1" x14ac:dyDescent="0.3"/>
    <row r="61" spans="1:12" ht="19.5" thickBot="1" x14ac:dyDescent="0.35">
      <c r="A61" s="228" t="s">
        <v>37</v>
      </c>
      <c r="B61" s="214"/>
      <c r="C61" s="214"/>
      <c r="D61" s="214"/>
      <c r="E61" s="325">
        <f>H59</f>
        <v>695000</v>
      </c>
      <c r="F61" s="326"/>
      <c r="G61" s="326"/>
      <c r="H61" s="327"/>
      <c r="I61" s="1"/>
    </row>
    <row r="62" spans="1:12" ht="18.75" x14ac:dyDescent="0.3">
      <c r="A62" s="216" t="s">
        <v>89</v>
      </c>
      <c r="B62" s="215"/>
      <c r="C62" s="215"/>
      <c r="D62" s="215"/>
      <c r="E62" s="328" t="s">
        <v>163</v>
      </c>
      <c r="F62" s="328"/>
      <c r="G62" s="328"/>
      <c r="H62" s="328"/>
    </row>
    <row r="63" spans="1:12" ht="15.75" thickBot="1" x14ac:dyDescent="0.3"/>
    <row r="64" spans="1:12" ht="20.25" thickBot="1" x14ac:dyDescent="0.3">
      <c r="A64" s="227" t="s">
        <v>46</v>
      </c>
      <c r="B64" s="59"/>
      <c r="C64" s="59"/>
      <c r="D64" s="59"/>
      <c r="E64" s="59"/>
      <c r="F64" s="59"/>
      <c r="G64" s="59"/>
      <c r="H64" s="142"/>
    </row>
    <row r="66" spans="1:11" ht="17.25" x14ac:dyDescent="0.25">
      <c r="A66" s="139" t="s">
        <v>23</v>
      </c>
      <c r="B66" s="140"/>
      <c r="C66" s="140"/>
      <c r="D66" s="141"/>
      <c r="E66" s="230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131870.39000000001</v>
      </c>
      <c r="F66" s="144"/>
      <c r="G66" s="144"/>
      <c r="H66" s="145"/>
    </row>
    <row r="67" spans="1:11" ht="17.25" x14ac:dyDescent="0.25">
      <c r="A67" s="149" t="s">
        <v>51</v>
      </c>
      <c r="B67" s="61"/>
      <c r="C67" s="61"/>
      <c r="D67" s="150"/>
      <c r="E67" s="231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6034.3658999999998</v>
      </c>
      <c r="F67" s="79"/>
      <c r="G67" s="79"/>
      <c r="H67" s="154"/>
    </row>
    <row r="68" spans="1:11" ht="17.25" x14ac:dyDescent="0.25">
      <c r="A68" s="149"/>
      <c r="B68" s="61"/>
      <c r="C68" s="61"/>
      <c r="D68" s="150"/>
      <c r="E68" s="231">
        <f>E66+E67</f>
        <v>137904.75590000002</v>
      </c>
      <c r="F68" s="79"/>
      <c r="G68" s="79"/>
      <c r="H68" s="154"/>
    </row>
    <row r="69" spans="1:11" ht="17.25" x14ac:dyDescent="0.25">
      <c r="A69" s="149" t="s">
        <v>54</v>
      </c>
      <c r="B69" s="61"/>
      <c r="C69" s="61"/>
      <c r="D69" s="150"/>
      <c r="E69" s="232">
        <v>0</v>
      </c>
      <c r="F69" s="4"/>
      <c r="G69" s="4"/>
      <c r="H69" s="157"/>
    </row>
    <row r="70" spans="1:11" ht="18" x14ac:dyDescent="0.25">
      <c r="A70" s="151" t="s">
        <v>56</v>
      </c>
      <c r="B70" s="152"/>
      <c r="C70" s="152"/>
      <c r="D70" s="153"/>
      <c r="E70" s="233">
        <f>E68+E69</f>
        <v>137904.75590000002</v>
      </c>
      <c r="F70" s="155"/>
      <c r="G70" s="155"/>
      <c r="H70" s="156"/>
    </row>
    <row r="71" spans="1:11" ht="15.75" thickBot="1" x14ac:dyDescent="0.3"/>
    <row r="72" spans="1:11" ht="19.5" thickBot="1" x14ac:dyDescent="0.35">
      <c r="A72" s="229" t="s">
        <v>38</v>
      </c>
      <c r="B72" s="158"/>
      <c r="C72" s="158"/>
      <c r="D72" s="159"/>
      <c r="E72" s="117" t="s">
        <v>39</v>
      </c>
      <c r="F72" s="117" t="s">
        <v>128</v>
      </c>
      <c r="G72" s="136" t="s">
        <v>68</v>
      </c>
      <c r="H72" s="117" t="s">
        <v>127</v>
      </c>
    </row>
    <row r="73" spans="1:11" ht="17.25" x14ac:dyDescent="0.3">
      <c r="A73" s="84" t="s">
        <v>168</v>
      </c>
      <c r="B73" s="137" t="s">
        <v>172</v>
      </c>
      <c r="C73" s="137"/>
      <c r="D73" s="137"/>
      <c r="E73" s="114">
        <v>0.02</v>
      </c>
      <c r="F73" s="83">
        <f>$E$70*E73</f>
        <v>2758.0951180000006</v>
      </c>
      <c r="G73" s="114">
        <v>0.02</v>
      </c>
      <c r="H73" s="115">
        <f>IF(G73=0,F73,F73-(F73*G73))</f>
        <v>2702.9332156400005</v>
      </c>
    </row>
    <row r="74" spans="1:11" ht="17.25" x14ac:dyDescent="0.3">
      <c r="A74" s="88" t="s">
        <v>167</v>
      </c>
      <c r="B74" s="3" t="s">
        <v>170</v>
      </c>
      <c r="C74" s="3"/>
      <c r="D74" s="3"/>
      <c r="E74" s="257">
        <v>0.15</v>
      </c>
      <c r="F74" s="5">
        <f t="shared" ref="F74:F79" si="0">$E$70*E74</f>
        <v>20685.713385000003</v>
      </c>
      <c r="G74" s="257">
        <v>0.03</v>
      </c>
      <c r="H74" s="87">
        <f t="shared" ref="H74:H79" si="1">IF(G74=0,F74,F74-(F74*G74))</f>
        <v>20065.141983450001</v>
      </c>
    </row>
    <row r="75" spans="1:11" ht="17.25" x14ac:dyDescent="0.3">
      <c r="A75" s="88" t="s">
        <v>166</v>
      </c>
      <c r="B75" s="3" t="s">
        <v>169</v>
      </c>
      <c r="C75" s="3"/>
      <c r="D75" s="3"/>
      <c r="E75" s="257">
        <v>0.2</v>
      </c>
      <c r="F75" s="5">
        <f t="shared" si="0"/>
        <v>27580.951180000004</v>
      </c>
      <c r="G75" s="257">
        <v>0.2</v>
      </c>
      <c r="H75" s="87">
        <f t="shared" si="1"/>
        <v>22064.760944000001</v>
      </c>
      <c r="J75" s="267"/>
    </row>
    <row r="76" spans="1:11" ht="17.25" x14ac:dyDescent="0.3">
      <c r="A76" s="88" t="s">
        <v>47</v>
      </c>
      <c r="B76" s="3" t="s">
        <v>48</v>
      </c>
      <c r="C76" s="3"/>
      <c r="D76" s="3"/>
      <c r="E76" s="257">
        <v>0.1</v>
      </c>
      <c r="F76" s="5">
        <f t="shared" si="0"/>
        <v>13790.475590000002</v>
      </c>
      <c r="G76" s="257">
        <v>0.1</v>
      </c>
      <c r="H76" s="87">
        <f t="shared" si="1"/>
        <v>12411.428031000001</v>
      </c>
      <c r="J76" s="267"/>
    </row>
    <row r="77" spans="1:11" ht="17.25" x14ac:dyDescent="0.3">
      <c r="A77" s="88" t="s">
        <v>59</v>
      </c>
      <c r="B77" s="3" t="s">
        <v>49</v>
      </c>
      <c r="C77" s="3"/>
      <c r="D77" s="3"/>
      <c r="E77" s="257">
        <v>0.2</v>
      </c>
      <c r="F77" s="5">
        <f t="shared" si="0"/>
        <v>27580.951180000004</v>
      </c>
      <c r="G77" s="257">
        <v>0.2</v>
      </c>
      <c r="H77" s="87">
        <f>IF(G77=0,F77,F77-(F77*G77))</f>
        <v>22064.760944000001</v>
      </c>
      <c r="J77" s="267"/>
      <c r="K77" s="94"/>
    </row>
    <row r="78" spans="1:11" ht="17.25" x14ac:dyDescent="0.3">
      <c r="A78" s="88" t="s">
        <v>52</v>
      </c>
      <c r="B78" s="3" t="s">
        <v>171</v>
      </c>
      <c r="C78" s="3"/>
      <c r="D78" s="3"/>
      <c r="E78" s="257">
        <v>0.3</v>
      </c>
      <c r="F78" s="5">
        <f t="shared" si="0"/>
        <v>41371.426770000005</v>
      </c>
      <c r="G78" s="257">
        <v>0.3</v>
      </c>
      <c r="H78" s="87">
        <f>IF(G78=0,F78,F78-(F78*G78))</f>
        <v>28959.998739000002</v>
      </c>
      <c r="J78" s="267">
        <f>H78+H79</f>
        <v>32973.027135690005</v>
      </c>
    </row>
    <row r="79" spans="1:11" ht="18" thickBot="1" x14ac:dyDescent="0.35">
      <c r="A79" s="89" t="s">
        <v>165</v>
      </c>
      <c r="B79" s="138" t="s">
        <v>164</v>
      </c>
      <c r="C79" s="138"/>
      <c r="D79" s="138"/>
      <c r="E79" s="116">
        <v>0.03</v>
      </c>
      <c r="F79" s="85">
        <f t="shared" si="0"/>
        <v>4137.1426770000007</v>
      </c>
      <c r="G79" s="116">
        <v>0.03</v>
      </c>
      <c r="H79" s="86">
        <f t="shared" si="1"/>
        <v>4013.0283966900006</v>
      </c>
      <c r="J79" s="268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322" t="s">
        <v>96</v>
      </c>
      <c r="F81" s="323"/>
      <c r="G81" s="324"/>
      <c r="H81" s="122">
        <f>H82*(1-(SUM(H73:H79)/H82))</f>
        <v>25622.703646219998</v>
      </c>
    </row>
    <row r="82" spans="1:11" ht="19.5" thickBot="1" x14ac:dyDescent="0.35">
      <c r="B82" s="118"/>
      <c r="C82" s="118"/>
      <c r="E82" s="322" t="s">
        <v>55</v>
      </c>
      <c r="F82" s="323"/>
      <c r="G82" s="324"/>
      <c r="H82" s="122">
        <f>SUM(F73:F79)</f>
        <v>137904.75590000002</v>
      </c>
      <c r="J82" s="94"/>
    </row>
    <row r="83" spans="1:11" ht="15.75" thickBot="1" x14ac:dyDescent="0.3"/>
    <row r="84" spans="1:11" ht="18.75" thickBot="1" x14ac:dyDescent="0.3">
      <c r="E84" s="334" t="s">
        <v>124</v>
      </c>
      <c r="F84" s="335"/>
      <c r="G84" s="336"/>
      <c r="H84" s="119">
        <f>H82-H81</f>
        <v>112282.05225378001</v>
      </c>
    </row>
    <row r="85" spans="1:11" ht="17.25" x14ac:dyDescent="0.3">
      <c r="A85" s="1"/>
      <c r="B85" s="256"/>
      <c r="C85" s="202"/>
      <c r="D85" s="202"/>
      <c r="E85" s="60"/>
      <c r="F85" s="184"/>
      <c r="G85" s="4"/>
      <c r="H85" s="79"/>
    </row>
    <row r="86" spans="1:11" ht="17.25" x14ac:dyDescent="0.3">
      <c r="D86" s="1"/>
      <c r="E86" s="60"/>
      <c r="F86" s="60"/>
      <c r="G86" s="3"/>
      <c r="J86" s="60">
        <v>1466117.4315939997</v>
      </c>
      <c r="K86" s="94"/>
    </row>
    <row r="87" spans="1:11" ht="17.25" x14ac:dyDescent="0.3">
      <c r="D87" s="332" t="s">
        <v>173</v>
      </c>
      <c r="E87" s="333"/>
      <c r="F87" s="269">
        <f>COUNT(D92:E97)</f>
        <v>3</v>
      </c>
      <c r="G87" s="259"/>
      <c r="H87" s="260">
        <f>SUM(J87)/F87</f>
        <v>24435.290526566663</v>
      </c>
      <c r="J87" s="94">
        <f>J86*0.05</f>
        <v>73305.87157969999</v>
      </c>
    </row>
    <row r="88" spans="1:11" ht="17.25" x14ac:dyDescent="0.3">
      <c r="D88" s="1"/>
      <c r="E88" s="1"/>
      <c r="F88" s="1"/>
      <c r="G88" s="1"/>
      <c r="H88" s="1"/>
      <c r="J88" s="94"/>
    </row>
    <row r="89" spans="1:11" ht="17.25" x14ac:dyDescent="0.3">
      <c r="D89" s="332" t="s">
        <v>176</v>
      </c>
      <c r="E89" s="333"/>
      <c r="F89" s="274">
        <v>22</v>
      </c>
      <c r="G89" s="261"/>
      <c r="H89" s="260">
        <f>H87/F89</f>
        <v>1110.6950239348482</v>
      </c>
    </row>
    <row r="90" spans="1:11" ht="17.25" x14ac:dyDescent="0.3">
      <c r="D90" s="1"/>
      <c r="E90" s="1"/>
      <c r="F90" s="1"/>
      <c r="G90" s="1"/>
      <c r="H90" s="1"/>
      <c r="K90" s="275"/>
    </row>
    <row r="91" spans="1:11" ht="17.25" x14ac:dyDescent="0.3">
      <c r="D91" s="331" t="s">
        <v>159</v>
      </c>
      <c r="E91" s="329"/>
      <c r="F91" s="329" t="s">
        <v>160</v>
      </c>
      <c r="G91" s="329"/>
      <c r="H91" s="262" t="s">
        <v>161</v>
      </c>
    </row>
    <row r="92" spans="1:11" ht="17.25" x14ac:dyDescent="0.3">
      <c r="D92" s="317">
        <v>1</v>
      </c>
      <c r="E92" s="317"/>
      <c r="F92" s="330">
        <v>2</v>
      </c>
      <c r="G92" s="330"/>
      <c r="H92" s="263">
        <f>$H$87</f>
        <v>24435.290526566663</v>
      </c>
    </row>
    <row r="93" spans="1:11" ht="17.25" x14ac:dyDescent="0.3">
      <c r="D93" s="330">
        <v>2</v>
      </c>
      <c r="E93" s="330"/>
      <c r="F93" s="330">
        <v>2</v>
      </c>
      <c r="G93" s="330"/>
      <c r="H93" s="263">
        <f>$H$87</f>
        <v>24435.290526566663</v>
      </c>
    </row>
    <row r="94" spans="1:11" ht="17.25" x14ac:dyDescent="0.3">
      <c r="D94" s="330">
        <v>3</v>
      </c>
      <c r="E94" s="330"/>
      <c r="F94" s="330">
        <v>4</v>
      </c>
      <c r="G94" s="330"/>
      <c r="H94" s="263">
        <f>$H$87</f>
        <v>24435.290526566663</v>
      </c>
    </row>
    <row r="95" spans="1:11" ht="17.25" x14ac:dyDescent="0.3">
      <c r="D95" s="330"/>
      <c r="E95" s="330"/>
      <c r="F95" s="330"/>
      <c r="G95" s="330"/>
      <c r="H95" s="263"/>
    </row>
    <row r="96" spans="1:11" ht="17.25" x14ac:dyDescent="0.3">
      <c r="D96" s="330" t="s">
        <v>183</v>
      </c>
      <c r="E96" s="330"/>
      <c r="F96" s="330">
        <f>SUM(F92:G94)</f>
        <v>8</v>
      </c>
      <c r="G96" s="330"/>
      <c r="H96" s="263">
        <f>F96*I96</f>
        <v>3520</v>
      </c>
      <c r="I96">
        <f>40*2*5.5</f>
        <v>440</v>
      </c>
      <c r="J96" s="173">
        <f>H87-H96</f>
        <v>20915.290526566663</v>
      </c>
    </row>
    <row r="97" spans="4:11" ht="17.25" x14ac:dyDescent="0.3">
      <c r="D97" s="330"/>
      <c r="E97" s="330"/>
      <c r="F97" s="330"/>
      <c r="G97" s="330"/>
      <c r="H97" s="263"/>
    </row>
    <row r="98" spans="4:11" ht="17.25" x14ac:dyDescent="0.3">
      <c r="D98" s="330"/>
      <c r="E98" s="330"/>
      <c r="F98" s="330"/>
      <c r="G98" s="330"/>
      <c r="H98" s="263"/>
    </row>
    <row r="100" spans="4:11" ht="22.5" customHeight="1" x14ac:dyDescent="0.3">
      <c r="D100" s="331" t="s">
        <v>174</v>
      </c>
      <c r="E100" s="329"/>
      <c r="F100" s="329"/>
      <c r="G100" s="329"/>
      <c r="H100" s="260">
        <f>SUM(H92:H97)</f>
        <v>76825.87157969999</v>
      </c>
    </row>
    <row r="101" spans="4:11" ht="17.25" x14ac:dyDescent="0.3">
      <c r="D101" s="3"/>
      <c r="E101" s="1"/>
      <c r="F101" s="1"/>
      <c r="G101" s="3"/>
      <c r="H101" s="263"/>
    </row>
    <row r="102" spans="4:11" ht="17.25" x14ac:dyDescent="0.3">
      <c r="D102" s="264" t="s">
        <v>162</v>
      </c>
      <c r="E102" s="259"/>
      <c r="F102" s="259"/>
      <c r="G102" s="259"/>
      <c r="H102" s="265">
        <f>SUM(F92:F94)</f>
        <v>8</v>
      </c>
      <c r="J102" s="258"/>
    </row>
    <row r="111" spans="4:11" x14ac:dyDescent="0.25">
      <c r="K111" s="121"/>
    </row>
    <row r="112" spans="4:11" x14ac:dyDescent="0.25">
      <c r="K112" s="120"/>
    </row>
    <row r="113" spans="4:5" x14ac:dyDescent="0.25">
      <c r="D113" s="321"/>
      <c r="E113" s="321"/>
    </row>
    <row r="114" spans="4:5" x14ac:dyDescent="0.25">
      <c r="D114" s="321"/>
      <c r="E114" s="321"/>
    </row>
    <row r="115" spans="4:5" x14ac:dyDescent="0.25">
      <c r="D115" s="321"/>
      <c r="E115" s="321"/>
    </row>
  </sheetData>
  <mergeCells count="39">
    <mergeCell ref="A42:B42"/>
    <mergeCell ref="A22:B22"/>
    <mergeCell ref="J13:K13"/>
    <mergeCell ref="A11:H11"/>
    <mergeCell ref="A13:C13"/>
    <mergeCell ref="A14:C14"/>
    <mergeCell ref="A15:B15"/>
    <mergeCell ref="F93:G93"/>
    <mergeCell ref="D91:E91"/>
    <mergeCell ref="J18:K18"/>
    <mergeCell ref="J21:K21"/>
    <mergeCell ref="J26:K26"/>
    <mergeCell ref="J32:K32"/>
    <mergeCell ref="E61:H61"/>
    <mergeCell ref="F94:G94"/>
    <mergeCell ref="D95:E95"/>
    <mergeCell ref="F95:G95"/>
    <mergeCell ref="D94:E94"/>
    <mergeCell ref="D89:E89"/>
    <mergeCell ref="E62:H62"/>
    <mergeCell ref="E81:G81"/>
    <mergeCell ref="E82:G82"/>
    <mergeCell ref="E84:G84"/>
    <mergeCell ref="D87:E87"/>
    <mergeCell ref="F91:G91"/>
    <mergeCell ref="D92:E92"/>
    <mergeCell ref="F92:G92"/>
    <mergeCell ref="D93:E93"/>
    <mergeCell ref="D96:E96"/>
    <mergeCell ref="F96:G96"/>
    <mergeCell ref="F97:G97"/>
    <mergeCell ref="D98:E98"/>
    <mergeCell ref="F98:G98"/>
    <mergeCell ref="D97:E97"/>
    <mergeCell ref="D100:E100"/>
    <mergeCell ref="F100:G100"/>
    <mergeCell ref="D113:E113"/>
    <mergeCell ref="D114:E114"/>
    <mergeCell ref="D115:E115"/>
  </mergeCells>
  <phoneticPr fontId="25" type="noConversion"/>
  <dataValidations disablePrompts="1"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40" xr:uid="{C59AC45A-36C6-42B4-B117-4A53BA6E46DB}">
      <formula1>"Dewald, Hannes, Johan"</formula1>
    </dataValidation>
    <dataValidation type="list" allowBlank="1" showInputMessage="1" showErrorMessage="1" sqref="D16:D19 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343" t="s">
        <v>46</v>
      </c>
      <c r="C13" s="344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341" t="s">
        <v>55</v>
      </c>
      <c r="O14" s="342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345" t="s">
        <v>20</v>
      </c>
      <c r="C24" s="345"/>
      <c r="D24" s="345"/>
      <c r="E24" s="345"/>
      <c r="F24" s="345"/>
      <c r="G24" s="345"/>
    </row>
    <row r="25" spans="2:12" x14ac:dyDescent="0.3">
      <c r="B25" s="346" t="s">
        <v>21</v>
      </c>
      <c r="C25" s="346" t="s">
        <v>22</v>
      </c>
      <c r="D25" s="346"/>
      <c r="E25" s="346" t="s">
        <v>23</v>
      </c>
      <c r="F25" s="346" t="s">
        <v>24</v>
      </c>
      <c r="G25" s="346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1">
        <f>VLOOKUP(K25,E29:G40,2,FALSE)</f>
        <v>0.1361</v>
      </c>
    </row>
    <row r="26" spans="2:12" x14ac:dyDescent="0.3">
      <c r="B26" s="346"/>
      <c r="C26" s="10"/>
      <c r="D26" s="10"/>
      <c r="E26" s="346"/>
      <c r="F26" s="10"/>
      <c r="G26" s="10"/>
      <c r="J26" s="77" t="s">
        <v>95</v>
      </c>
      <c r="K26" s="5">
        <f>K25+L27</f>
        <v>450550.3639</v>
      </c>
      <c r="L26" s="192">
        <f>VLOOKUP(K25,E29:G40,3,FALSE)</f>
        <v>2000001</v>
      </c>
    </row>
    <row r="27" spans="2:12" x14ac:dyDescent="0.3">
      <c r="B27" s="346"/>
      <c r="C27" s="10" t="s">
        <v>25</v>
      </c>
      <c r="D27" s="10" t="s">
        <v>26</v>
      </c>
      <c r="E27" s="346"/>
      <c r="F27" s="10" t="s">
        <v>27</v>
      </c>
      <c r="G27" s="10" t="s">
        <v>28</v>
      </c>
      <c r="J27" s="193"/>
      <c r="K27" s="194" t="s">
        <v>121</v>
      </c>
      <c r="L27" s="195">
        <f>(C9-L26)*L25</f>
        <v>86287.263900000005</v>
      </c>
    </row>
    <row r="28" spans="2:12" x14ac:dyDescent="0.3">
      <c r="B28" s="346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1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387001.32310000004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1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323452.27230000001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2024-08-22T09:47:25Z</dcterms:modified>
</cp:coreProperties>
</file>