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x024_South Bakels\Quote\"/>
    </mc:Choice>
  </mc:AlternateContent>
  <xr:revisionPtr revIDLastSave="0" documentId="13_ncr:1_{D292F7F6-A778-4817-9321-D0C0B8A3C4B5}" xr6:coauthVersionLast="47" xr6:coauthVersionMax="47" xr10:uidLastSave="{00000000-0000-0000-0000-000000000000}"/>
  <bookViews>
    <workbookView xWindow="-120" yWindow="-120" windowWidth="29040" windowHeight="15720" activeTab="2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5" l="1"/>
  <c r="H15" i="5"/>
  <c r="G21" i="5"/>
  <c r="G22" i="5"/>
  <c r="G23" i="5"/>
  <c r="G24" i="5"/>
  <c r="G25" i="5"/>
  <c r="G26" i="5"/>
  <c r="G27" i="5"/>
  <c r="E25" i="5"/>
  <c r="H25" i="5" s="1"/>
  <c r="E24" i="5"/>
  <c r="H24" i="5" s="1"/>
  <c r="E23" i="5"/>
  <c r="H23" i="5" s="1"/>
  <c r="E20" i="5"/>
  <c r="H20" i="5" s="1"/>
  <c r="E19" i="5"/>
  <c r="H19" i="5" s="1"/>
  <c r="E18" i="5"/>
  <c r="H18" i="5" s="1"/>
  <c r="E17" i="5"/>
  <c r="H17" i="5" s="1"/>
  <c r="G17" i="5"/>
  <c r="G18" i="5"/>
  <c r="G19" i="5"/>
  <c r="G20" i="5"/>
  <c r="G16" i="5"/>
  <c r="H43" i="5"/>
  <c r="H40" i="5"/>
  <c r="H41" i="5"/>
  <c r="E16" i="5"/>
  <c r="E27" i="5"/>
  <c r="E28" i="5"/>
  <c r="E22" i="5"/>
  <c r="F45" i="5"/>
  <c r="H45" i="5" s="1"/>
  <c r="H44" i="5"/>
  <c r="H39" i="5"/>
  <c r="F16" i="3"/>
  <c r="F20" i="3"/>
  <c r="H103" i="5"/>
  <c r="F88" i="5"/>
  <c r="K85" i="5"/>
  <c r="M61" i="5"/>
  <c r="M60" i="5"/>
  <c r="H60" i="5"/>
  <c r="E62" i="5" s="1"/>
  <c r="G60" i="5"/>
  <c r="M59" i="5"/>
  <c r="M58" i="5"/>
  <c r="M57" i="5"/>
  <c r="M56" i="5"/>
  <c r="M55" i="5"/>
  <c r="M54" i="5"/>
  <c r="K41" i="5"/>
  <c r="G15" i="3"/>
  <c r="F18" i="3"/>
  <c r="H18" i="3" s="1"/>
  <c r="F19" i="3"/>
  <c r="E18" i="3"/>
  <c r="F17" i="3"/>
  <c r="K78" i="3"/>
  <c r="H96" i="3"/>
  <c r="F81" i="3"/>
  <c r="H16" i="5" l="1"/>
  <c r="H27" i="5"/>
  <c r="H38" i="5"/>
  <c r="M62" i="5"/>
  <c r="H22" i="5"/>
  <c r="E67" i="5"/>
  <c r="E68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E69" i="5" l="1"/>
  <c r="E71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K21" i="1"/>
  <c r="F15" i="1"/>
  <c r="G15" i="1" s="1"/>
  <c r="C21" i="1" s="1"/>
  <c r="E21" i="1" s="1"/>
  <c r="G21" i="1" s="1"/>
  <c r="E17" i="3" s="1"/>
  <c r="F80" i="5" l="1"/>
  <c r="H80" i="5" s="1"/>
  <c r="F79" i="5"/>
  <c r="H79" i="5" s="1"/>
  <c r="F77" i="5"/>
  <c r="H77" i="5" s="1"/>
  <c r="F75" i="5"/>
  <c r="H75" i="5" s="1"/>
  <c r="F78" i="5"/>
  <c r="H78" i="5" s="1"/>
  <c r="F76" i="5"/>
  <c r="H76" i="5" s="1"/>
  <c r="F74" i="5"/>
  <c r="L63" i="2"/>
  <c r="H33" i="3"/>
  <c r="H40" i="3" s="1"/>
  <c r="H42" i="3" s="1"/>
  <c r="L64" i="2"/>
  <c r="H53" i="3"/>
  <c r="M55" i="3"/>
  <c r="F15" i="3"/>
  <c r="H21" i="1"/>
  <c r="M15" i="3"/>
  <c r="H88" i="5" l="1"/>
  <c r="H94" i="5" s="1"/>
  <c r="H83" i="5"/>
  <c r="H74" i="5"/>
  <c r="L65" i="2"/>
  <c r="K64" i="2" s="1"/>
  <c r="E55" i="3"/>
  <c r="E60" i="3" s="1"/>
  <c r="E61" i="3" s="1"/>
  <c r="E5" i="2"/>
  <c r="F14" i="1"/>
  <c r="G14" i="1" s="1"/>
  <c r="C20" i="1" s="1"/>
  <c r="F13" i="1"/>
  <c r="G13" i="1" s="1"/>
  <c r="C19" i="1" s="1"/>
  <c r="H95" i="5" l="1"/>
  <c r="H90" i="5"/>
  <c r="F90" i="5" s="1"/>
  <c r="H96" i="5"/>
  <c r="H93" i="5"/>
  <c r="H82" i="5"/>
  <c r="H85" i="5" s="1"/>
  <c r="E62" i="3"/>
  <c r="E64" i="3" s="1"/>
  <c r="E20" i="1"/>
  <c r="E19" i="1"/>
  <c r="G19" i="1" s="1"/>
  <c r="K25" i="2"/>
  <c r="K44" i="2"/>
  <c r="H101" i="5" l="1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G20" i="1"/>
  <c r="H19" i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H20" i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  <c r="H47" i="5"/>
  <c r="H49" i="5" s="1"/>
  <c r="H28" i="5"/>
  <c r="H29" i="5"/>
  <c r="F15" i="5"/>
  <c r="G28" i="5"/>
  <c r="G15" i="5"/>
  <c r="M15" i="5" s="1"/>
  <c r="H30" i="5" l="1"/>
  <c r="J29" i="5" l="1"/>
  <c r="M23" i="5"/>
  <c r="J49" i="5" s="1"/>
  <c r="L40" i="5" l="1"/>
  <c r="K29" i="5"/>
  <c r="L29" i="5" s="1"/>
  <c r="L39" i="5"/>
  <c r="L38" i="5"/>
  <c r="L41" i="5" l="1"/>
  <c r="N29" i="5"/>
  <c r="M29" i="5" s="1"/>
  <c r="M31" i="5" l="1"/>
  <c r="M33" i="5" s="1"/>
</calcChain>
</file>

<file path=xl/sharedStrings.xml><?xml version="1.0" encoding="utf-8"?>
<sst xmlns="http://schemas.openxmlformats.org/spreadsheetml/2006/main" count="385" uniqueCount="197">
  <si>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</si>
  <si>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</si>
  <si>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</si>
  <si>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</si>
  <si>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</si>
  <si>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</si>
  <si>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</si>
  <si>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</si>
  <si>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</si>
  <si>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</si>
  <si>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</si>
  <si>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</si>
  <si>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</si>
  <si>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</si>
  <si>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</si>
  <si>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</si>
  <si>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</si>
  <si>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</si>
  <si>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</si>
  <si>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</si>
  <si>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</si>
  <si>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</si>
  <si>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</si>
  <si>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</si>
  <si>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</si>
  <si>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</si>
  <si>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</si>
  <si>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</si>
  <si>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</si>
  <si>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</si>
  <si>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</si>
  <si>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</si>
  <si>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</si>
  <si>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</si>
  <si>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</si>
  <si>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</si>
  <si>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</si>
  <si>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</si>
  <si>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</si>
  <si>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</si>
  <si>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</si>
  <si>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</si>
  <si>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</si>
  <si>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</si>
  <si>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</si>
  <si>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</si>
  <si>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</si>
  <si>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</si>
  <si>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</si>
  <si>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</si>
  <si>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</si>
  <si>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</si>
  <si>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</si>
  <si>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</si>
  <si>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</si>
  <si>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</si>
  <si>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</si>
  <si>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</si>
  <si>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</si>
  <si>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</si>
  <si>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</si>
  <si>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</si>
  <si>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</si>
  <si>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</si>
  <si>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</si>
  <si>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</si>
  <si>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</si>
  <si>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</si>
  <si>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</si>
  <si>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</si>
  <si>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</si>
  <si>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</si>
  <si>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</si>
  <si>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</si>
  <si>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</si>
  <si>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</si>
  <si>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</si>
  <si>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</si>
  <si>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</si>
  <si>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</si>
  <si>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</si>
  <si>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</si>
  <si>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</si>
  <si>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</si>
  <si>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</si>
  <si>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</si>
  <si>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</si>
  <si>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</si>
  <si>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</si>
  <si>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</si>
  <si>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</si>
  <si>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</si>
  <si>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</si>
  <si>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</si>
  <si>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</si>
  <si>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</si>
  <si>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</si>
  <si>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</si>
  <si>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</si>
  <si>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</si>
  <si>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</si>
  <si>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</si>
  <si>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</si>
  <si>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</si>
  <si>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</si>
  <si>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</si>
  <si>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</si>
  <si>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</si>
  <si>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</si>
  <si>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</si>
  <si>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</si>
  <si>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</si>
  <si>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</si>
  <si>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</si>
  <si>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</si>
  <si>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</si>
  <si>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</si>
  <si>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</si>
  <si>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</si>
  <si>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</si>
  <si>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</si>
  <si>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</si>
  <si>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</si>
  <si>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</si>
  <si>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</si>
  <si>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</si>
  <si>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</si>
  <si>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</si>
  <si>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</si>
  <si>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</si>
  <si>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</si>
  <si>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</si>
  <si>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</si>
  <si>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</si>
  <si>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</si>
  <si>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</si>
  <si>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</si>
  <si>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</si>
  <si>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</si>
  <si>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</si>
  <si>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</si>
  <si>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</si>
  <si>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</si>
  <si>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</si>
  <si>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</si>
  <si>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</si>
  <si>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</si>
  <si>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</si>
  <si>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</si>
  <si>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</si>
  <si>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</si>
  <si>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</si>
  <si>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</si>
  <si>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</si>
  <si>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</si>
  <si>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</si>
  <si>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</si>
  <si>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</si>
  <si>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</si>
  <si>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</si>
  <si>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</si>
  <si>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</si>
  <si>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</si>
  <si>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</si>
  <si>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</si>
  <si>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</si>
  <si>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</si>
  <si>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</si>
  <si>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</si>
  <si>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</si>
  <si>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</si>
  <si>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</si>
  <si>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</si>
  <si>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</si>
  <si>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</si>
  <si>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</si>
  <si>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</si>
  <si>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</si>
  <si>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</si>
  <si>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</si>
  <si>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</si>
  <si>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</si>
  <si>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</si>
  <si>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New office in Warehouse</t>
  </si>
  <si>
    <t>New Braai area</t>
  </si>
  <si>
    <t>Measuring + Draw - Office</t>
  </si>
  <si>
    <t>Measuring + Draw - Carport</t>
  </si>
  <si>
    <t>Drawing of Warehouse</t>
  </si>
  <si>
    <t>Drawing of Office</t>
  </si>
  <si>
    <t>Drawing of Braai</t>
  </si>
  <si>
    <t>Drawing of Carport</t>
  </si>
  <si>
    <t>Measure Warehouse Overalls</t>
  </si>
  <si>
    <t>Measure Office in Warehouse</t>
  </si>
  <si>
    <t>Measure Office Overalls</t>
  </si>
  <si>
    <t>Measure Braai Area</t>
  </si>
  <si>
    <t>Measure Carport</t>
  </si>
  <si>
    <t>Measuring + Draw - Ex. 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</si>
</sst>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5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2" fontId="4" fillId="0" borderId="0" xfId="0" applyNumberFormat="1" applyFont="1"/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4" fillId="0" borderId="0" xfId="0" applyFont="1" applyFill="1" applyBorder="1"/>
    <xf numFmtId="0" fontId="0" fillId="0" borderId="0" xfId="0" applyNumberFormat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10" workbookViewId="0">
      <selection activeCell="G20" sqref="G20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1"/>
      <c r="B1" s="221"/>
      <c r="C1" s="221"/>
      <c r="D1" s="221"/>
      <c r="E1" s="221"/>
      <c r="F1" s="221"/>
      <c r="G1" s="221"/>
    </row>
    <row r="2" spans="1:11" x14ac:dyDescent="0.3">
      <c r="A2" s="221"/>
      <c r="B2" s="221"/>
      <c r="C2" s="221"/>
      <c r="D2" s="221"/>
      <c r="E2" s="221"/>
      <c r="F2" s="221"/>
      <c r="G2" s="221"/>
    </row>
    <row r="3" spans="1:11" x14ac:dyDescent="0.3">
      <c r="A3" s="221"/>
      <c r="B3" s="221"/>
      <c r="C3" s="221"/>
      <c r="D3" s="221"/>
      <c r="E3" s="221"/>
      <c r="F3" s="221"/>
      <c r="G3" s="221"/>
    </row>
    <row r="4" spans="1:11" x14ac:dyDescent="0.3">
      <c r="A4" s="221"/>
      <c r="B4" s="221"/>
      <c r="C4" s="221"/>
      <c r="D4" s="221"/>
      <c r="E4" s="221"/>
      <c r="F4" s="221"/>
      <c r="G4" s="221"/>
    </row>
    <row r="5" spans="1:11" x14ac:dyDescent="0.3">
      <c r="A5" s="221"/>
      <c r="B5" s="221"/>
      <c r="C5" s="221"/>
      <c r="D5" s="221"/>
      <c r="E5" s="221"/>
      <c r="F5" s="221"/>
      <c r="G5" s="221"/>
    </row>
    <row r="6" spans="1:11" x14ac:dyDescent="0.3">
      <c r="A6" s="221"/>
      <c r="B6" s="221"/>
      <c r="C6" s="221"/>
      <c r="D6" s="221"/>
      <c r="E6" s="221"/>
      <c r="F6" s="221"/>
      <c r="G6" s="221"/>
    </row>
    <row r="7" spans="1:11" x14ac:dyDescent="0.3">
      <c r="A7" s="221"/>
      <c r="B7" s="221"/>
      <c r="C7" s="221"/>
      <c r="D7" s="221"/>
      <c r="E7" s="221"/>
      <c r="F7" s="221"/>
      <c r="G7" s="221"/>
    </row>
    <row r="8" spans="1:11" x14ac:dyDescent="0.3">
      <c r="A8" s="221"/>
      <c r="B8" s="221"/>
      <c r="C8" s="221"/>
      <c r="D8" s="221"/>
      <c r="E8" s="221"/>
      <c r="F8" s="221"/>
      <c r="G8" s="221"/>
    </row>
    <row r="9" spans="1:11" x14ac:dyDescent="0.3">
      <c r="A9" s="221"/>
      <c r="B9" s="221"/>
      <c r="C9" s="221"/>
      <c r="D9" s="221"/>
      <c r="E9" s="221"/>
      <c r="F9" s="221"/>
      <c r="G9" s="221"/>
    </row>
    <row r="10" spans="1:11" x14ac:dyDescent="0.3">
      <c r="A10" s="221"/>
      <c r="B10" s="221"/>
      <c r="C10" s="221"/>
      <c r="D10" s="221"/>
      <c r="E10" s="221"/>
      <c r="F10" s="221"/>
      <c r="G10" s="221"/>
    </row>
    <row r="11" spans="1:11" ht="21" thickBot="1" x14ac:dyDescent="0.35">
      <c r="A11" s="274" t="s">
        <v>7</v>
      </c>
      <c r="B11" s="275"/>
      <c r="C11" s="275"/>
      <c r="D11" s="275"/>
      <c r="E11" s="275"/>
      <c r="F11" s="275"/>
      <c r="G11" s="275"/>
      <c r="I11" s="220"/>
    </row>
    <row r="12" spans="1:11" ht="18.75" customHeight="1" thickBot="1" x14ac:dyDescent="0.35">
      <c r="A12" s="100" t="s">
        <v>93</v>
      </c>
      <c r="B12" s="130" t="s">
        <v>1</v>
      </c>
      <c r="C12" s="99" t="s">
        <v>0</v>
      </c>
      <c r="D12" s="133" t="s">
        <v>125</v>
      </c>
      <c r="E12" s="278" t="s">
        <v>11</v>
      </c>
      <c r="F12" s="278"/>
      <c r="G12" s="226" t="s">
        <v>4</v>
      </c>
    </row>
    <row r="13" spans="1:11" x14ac:dyDescent="0.3">
      <c r="A13" s="165">
        <v>1</v>
      </c>
      <c r="B13" s="222" t="s">
        <v>5</v>
      </c>
      <c r="C13" s="118" t="s">
        <v>2</v>
      </c>
      <c r="D13" s="128">
        <v>40870</v>
      </c>
      <c r="E13" s="217">
        <v>0.15</v>
      </c>
      <c r="F13" s="128">
        <f>D13*E13</f>
        <v>6130.5</v>
      </c>
      <c r="G13" s="225">
        <f>D13+F13</f>
        <v>47000.5</v>
      </c>
      <c r="H13" s="118"/>
      <c r="I13" s="128"/>
    </row>
    <row r="14" spans="1:11" x14ac:dyDescent="0.3">
      <c r="A14" s="165">
        <v>2</v>
      </c>
      <c r="B14" s="219" t="s">
        <v>6</v>
      </c>
      <c r="C14" s="118" t="s">
        <v>2</v>
      </c>
      <c r="D14" s="223">
        <v>38000</v>
      </c>
      <c r="E14" s="217">
        <v>0.15</v>
      </c>
      <c r="F14" s="128">
        <f>D14*E14</f>
        <v>5700</v>
      </c>
      <c r="G14" s="128">
        <f>D14+F14</f>
        <v>43700</v>
      </c>
      <c r="H14" s="118"/>
      <c r="I14" s="118"/>
    </row>
    <row r="15" spans="1:11" x14ac:dyDescent="0.3">
      <c r="A15" s="165">
        <v>3</v>
      </c>
      <c r="B15" s="118" t="s">
        <v>99</v>
      </c>
      <c r="C15" s="118" t="s">
        <v>98</v>
      </c>
      <c r="D15" s="223">
        <v>24000</v>
      </c>
      <c r="E15" s="217">
        <v>0.15</v>
      </c>
      <c r="F15" s="128">
        <f>D15*E15</f>
        <v>3600</v>
      </c>
      <c r="G15" s="128">
        <f>D15+F15</f>
        <v>27600</v>
      </c>
      <c r="H15" s="118" t="s">
        <v>100</v>
      </c>
      <c r="I15" s="118"/>
    </row>
    <row r="16" spans="1:11" x14ac:dyDescent="0.3">
      <c r="A16" s="4"/>
      <c r="K16"/>
    </row>
    <row r="17" spans="1:12" ht="21" thickBot="1" x14ac:dyDescent="0.35">
      <c r="A17" s="276" t="s">
        <v>8</v>
      </c>
      <c r="B17" s="276"/>
      <c r="C17" s="276"/>
      <c r="D17" s="276"/>
      <c r="E17" s="276"/>
      <c r="F17" s="276"/>
      <c r="G17" s="276"/>
      <c r="K17"/>
    </row>
    <row r="18" spans="1:12" ht="18" thickBot="1" x14ac:dyDescent="0.35">
      <c r="A18" s="90" t="s">
        <v>93</v>
      </c>
      <c r="B18" s="131" t="s">
        <v>9</v>
      </c>
      <c r="C18" s="101" t="s">
        <v>12</v>
      </c>
      <c r="D18" s="131" t="s">
        <v>10</v>
      </c>
      <c r="E18" s="101" t="s">
        <v>94</v>
      </c>
      <c r="F18" s="102" t="s">
        <v>73</v>
      </c>
      <c r="G18" s="132" t="s">
        <v>13</v>
      </c>
      <c r="H18" s="125" t="s">
        <v>74</v>
      </c>
      <c r="I18" s="123"/>
      <c r="J18" s="124"/>
      <c r="K18"/>
    </row>
    <row r="19" spans="1:12" x14ac:dyDescent="0.3">
      <c r="A19" s="165">
        <v>1</v>
      </c>
      <c r="B19" s="219">
        <v>21</v>
      </c>
      <c r="C19" s="223">
        <f>G13/B19</f>
        <v>2238.1190476190477</v>
      </c>
      <c r="D19" s="219">
        <v>8</v>
      </c>
      <c r="E19" s="218">
        <f>C19/D19</f>
        <v>279.76488095238096</v>
      </c>
      <c r="F19" s="219">
        <v>2.4</v>
      </c>
      <c r="G19" s="224">
        <f>ROUNDUP(E19*F19,-0.5)</f>
        <v>672</v>
      </c>
      <c r="H19" s="277">
        <f>G19*D19</f>
        <v>5376</v>
      </c>
      <c r="I19" s="277"/>
      <c r="J19" s="277"/>
      <c r="K19" s="118" t="s">
        <v>97</v>
      </c>
      <c r="L19" s="118" t="s">
        <v>2</v>
      </c>
    </row>
    <row r="20" spans="1:12" x14ac:dyDescent="0.3">
      <c r="A20" s="165">
        <v>2</v>
      </c>
      <c r="B20" s="219">
        <v>21</v>
      </c>
      <c r="C20" s="223">
        <f>G14/B20</f>
        <v>2080.9523809523807</v>
      </c>
      <c r="D20" s="219">
        <v>8</v>
      </c>
      <c r="E20" s="218">
        <f>C20/D20</f>
        <v>260.11904761904759</v>
      </c>
      <c r="F20" s="219">
        <v>2.4</v>
      </c>
      <c r="G20" s="224">
        <f>ROUNDUP(E20*F20,-0.5)</f>
        <v>625</v>
      </c>
      <c r="H20" s="273">
        <f>G20*D20</f>
        <v>5000</v>
      </c>
      <c r="I20" s="273"/>
      <c r="J20" s="273"/>
      <c r="K20" s="118" t="s">
        <v>77</v>
      </c>
      <c r="L20" s="118" t="s">
        <v>2</v>
      </c>
    </row>
    <row r="21" spans="1:12" x14ac:dyDescent="0.3">
      <c r="A21" s="165">
        <v>3</v>
      </c>
      <c r="B21" s="118">
        <v>21</v>
      </c>
      <c r="C21" s="128">
        <f>G15/B21</f>
        <v>1314.2857142857142</v>
      </c>
      <c r="D21" s="219">
        <v>8</v>
      </c>
      <c r="E21" s="218">
        <f>C21/D21</f>
        <v>164.28571428571428</v>
      </c>
      <c r="F21" s="118">
        <v>2.4</v>
      </c>
      <c r="G21" s="224">
        <f>ROUNDUP(E21*F21,-0.5)</f>
        <v>395</v>
      </c>
      <c r="H21" s="273">
        <f>G21*D21</f>
        <v>3160</v>
      </c>
      <c r="I21" s="273"/>
      <c r="J21" s="273"/>
      <c r="K21" s="118" t="str">
        <f>B15</f>
        <v>Johan Hugo</v>
      </c>
      <c r="L21" s="118" t="s">
        <v>101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286" t="s">
        <v>14</v>
      </c>
      <c r="B11" s="287"/>
      <c r="C11" s="287"/>
      <c r="D11" s="287"/>
      <c r="E11" s="287"/>
      <c r="F11" s="287"/>
      <c r="G11" s="287"/>
      <c r="H11" s="288"/>
      <c r="I11" s="1"/>
      <c r="J11" s="1"/>
      <c r="K11" s="3" t="s">
        <v>182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89" t="s">
        <v>65</v>
      </c>
      <c r="B13" s="290"/>
      <c r="C13" s="291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92" t="s">
        <v>61</v>
      </c>
      <c r="B14" s="293"/>
      <c r="C14" s="293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95" t="s">
        <v>81</v>
      </c>
      <c r="B15" s="296"/>
      <c r="C15" s="71"/>
      <c r="D15" s="71"/>
      <c r="E15" s="71"/>
      <c r="F15" s="76">
        <f>SUM(F16:F29)</f>
        <v>84</v>
      </c>
      <c r="G15" s="270">
        <f>SUM(G16:G22)</f>
        <v>10.5</v>
      </c>
      <c r="H15" s="201">
        <f>SUM(H16:H22)</f>
        <v>39620</v>
      </c>
      <c r="I15" s="1"/>
      <c r="J15" s="279" t="s">
        <v>75</v>
      </c>
      <c r="K15" s="280"/>
      <c r="L15" s="281"/>
      <c r="M15" s="166">
        <f>G15</f>
        <v>10.5</v>
      </c>
    </row>
    <row r="16" spans="1:13" ht="17.25" x14ac:dyDescent="0.3">
      <c r="A16" s="196" t="s">
        <v>180</v>
      </c>
      <c r="B16" s="285"/>
      <c r="C16" s="285"/>
      <c r="D16" s="60" t="s">
        <v>77</v>
      </c>
      <c r="E16" s="60">
        <f>IF(D16="Dewald", Employees!$G$20,IF(D16="Hannes",Employees!$G$19,IF(D16="Johan",Employees!$G$21,"")))</f>
        <v>625</v>
      </c>
      <c r="F16" s="3">
        <f>G16*8</f>
        <v>4</v>
      </c>
      <c r="G16" s="197">
        <v>0.5</v>
      </c>
      <c r="H16" s="199">
        <f>F16*E16</f>
        <v>2500</v>
      </c>
      <c r="I16" s="1"/>
      <c r="M16" s="3"/>
    </row>
    <row r="17" spans="1:14" ht="17.25" x14ac:dyDescent="0.3">
      <c r="A17" s="294" t="s">
        <v>177</v>
      </c>
      <c r="B17" s="294"/>
      <c r="C17" s="1"/>
      <c r="D17" s="60" t="s">
        <v>130</v>
      </c>
      <c r="E17" s="60">
        <f>IF(D17="Dewald", Employees!$G$20,IF(D17="Hannes",Employees!$G$19,IF(D17="Johan",Employees!$G$21,"")))</f>
        <v>395</v>
      </c>
      <c r="F17" s="3">
        <f>G17*8</f>
        <v>40</v>
      </c>
      <c r="G17" s="197">
        <v>5</v>
      </c>
      <c r="H17" s="199">
        <f t="shared" ref="H17:H18" si="0">F17*E17</f>
        <v>15800</v>
      </c>
      <c r="I17" s="1"/>
      <c r="M17" s="3"/>
    </row>
    <row r="18" spans="1:14" ht="18" thickBot="1" x14ac:dyDescent="0.35">
      <c r="A18" s="294" t="s">
        <v>178</v>
      </c>
      <c r="B18" s="294"/>
      <c r="C18" s="1"/>
      <c r="D18" s="60" t="s">
        <v>130</v>
      </c>
      <c r="E18" s="60">
        <f>IF(D18="Dewald", Employees!$G$20,IF(D18="Hannes",Employees!$G$19,IF(D18="Johan",Employees!$G$21,"")))</f>
        <v>395</v>
      </c>
      <c r="F18" s="3">
        <f>G18*8</f>
        <v>16</v>
      </c>
      <c r="G18" s="197">
        <v>2</v>
      </c>
      <c r="H18" s="199">
        <f t="shared" si="0"/>
        <v>6320</v>
      </c>
      <c r="I18" s="1"/>
      <c r="M18" s="3"/>
    </row>
    <row r="19" spans="1:14" ht="18" thickBot="1" x14ac:dyDescent="0.35">
      <c r="A19" s="294" t="s">
        <v>181</v>
      </c>
      <c r="B19" s="294"/>
      <c r="C19" s="1"/>
      <c r="D19" s="60" t="s">
        <v>77</v>
      </c>
      <c r="E19" s="60">
        <f>IF(D19="Dewald", Employees!$G$20,IF(D19="Hannes",Employees!$G$19,IF(D19="Johan",Employees!$G$21,"")))</f>
        <v>625</v>
      </c>
      <c r="F19" s="3">
        <f>G19*8</f>
        <v>20</v>
      </c>
      <c r="G19" s="197">
        <v>2.5</v>
      </c>
      <c r="H19" s="199">
        <f>F19*E19</f>
        <v>12500</v>
      </c>
      <c r="I19" s="1"/>
      <c r="J19" s="282" t="s">
        <v>78</v>
      </c>
      <c r="K19" s="283"/>
      <c r="L19" s="284"/>
      <c r="M19" s="110">
        <f>H26/M15</f>
        <v>3773.3333333333335</v>
      </c>
    </row>
    <row r="20" spans="1:14" ht="17.25" x14ac:dyDescent="0.3">
      <c r="A20" s="196" t="s">
        <v>179</v>
      </c>
      <c r="D20" s="60" t="s">
        <v>77</v>
      </c>
      <c r="E20" s="60">
        <v>625</v>
      </c>
      <c r="F20" s="3">
        <f>G20*8</f>
        <v>4</v>
      </c>
      <c r="G20" s="197">
        <v>0.5</v>
      </c>
      <c r="H20" s="199">
        <f>F20*E20</f>
        <v>2500</v>
      </c>
      <c r="I20" s="1"/>
      <c r="M20" s="97"/>
    </row>
    <row r="21" spans="1:14" ht="17.25" x14ac:dyDescent="0.3">
      <c r="A21" s="196"/>
      <c r="D21" s="60"/>
      <c r="E21" s="60"/>
      <c r="F21" s="3"/>
      <c r="G21" s="197"/>
      <c r="H21" s="199"/>
      <c r="I21" s="1"/>
      <c r="M21" s="97"/>
    </row>
    <row r="22" spans="1:14" ht="18" thickBot="1" x14ac:dyDescent="0.35">
      <c r="A22" s="294"/>
      <c r="B22" s="294"/>
      <c r="D22" s="60"/>
      <c r="E22" s="60"/>
      <c r="F22" s="3"/>
      <c r="G22" s="197"/>
      <c r="H22" s="199"/>
      <c r="I22" s="1"/>
    </row>
    <row r="23" spans="1:14" ht="18" thickBot="1" x14ac:dyDescent="0.35">
      <c r="H23" s="173"/>
      <c r="I23" s="1"/>
      <c r="J23" s="105" t="s">
        <v>95</v>
      </c>
      <c r="K23" s="107" t="s">
        <v>88</v>
      </c>
      <c r="L23" s="108" t="s">
        <v>83</v>
      </c>
      <c r="M23" s="109" t="s">
        <v>86</v>
      </c>
      <c r="N23" s="106" t="s">
        <v>84</v>
      </c>
    </row>
    <row r="24" spans="1:14" ht="18" x14ac:dyDescent="0.3">
      <c r="A24" s="73"/>
      <c r="B24" s="73"/>
      <c r="D24" s="92"/>
      <c r="F24" s="92" t="s">
        <v>80</v>
      </c>
      <c r="G24" s="73"/>
      <c r="H24" s="198">
        <f>H15</f>
        <v>39620</v>
      </c>
      <c r="I24" s="1"/>
      <c r="J24" s="111">
        <f>H26</f>
        <v>39620</v>
      </c>
      <c r="K24" s="60">
        <f>J24*0.05</f>
        <v>1981</v>
      </c>
      <c r="L24" s="60">
        <f>J24-K24</f>
        <v>37639</v>
      </c>
      <c r="M24" s="111">
        <f>L24-N24</f>
        <v>21956.083333333332</v>
      </c>
      <c r="N24" s="113">
        <f>L24/2.4</f>
        <v>15682.916666666668</v>
      </c>
    </row>
    <row r="25" spans="1:14" ht="18.75" thickBot="1" x14ac:dyDescent="0.35">
      <c r="A25" s="73"/>
      <c r="B25" s="73"/>
      <c r="C25" s="73"/>
      <c r="F25" s="92" t="s">
        <v>79</v>
      </c>
      <c r="G25" s="74">
        <v>0</v>
      </c>
      <c r="H25" s="198">
        <f>H24*G25</f>
        <v>0</v>
      </c>
      <c r="I25" s="1"/>
      <c r="M25" s="97"/>
    </row>
    <row r="26" spans="1:14" ht="19.5" thickBot="1" x14ac:dyDescent="0.35">
      <c r="A26" s="1"/>
      <c r="B26" s="1"/>
      <c r="C26" s="1"/>
      <c r="D26" s="1"/>
      <c r="F26" s="147" t="s">
        <v>69</v>
      </c>
      <c r="G26" s="148"/>
      <c r="H26" s="200">
        <f>(H24-H25)</f>
        <v>39620</v>
      </c>
      <c r="I26" s="1"/>
      <c r="J26" s="104" t="s">
        <v>85</v>
      </c>
      <c r="K26" s="95"/>
      <c r="L26" s="95"/>
      <c r="M26" s="112">
        <f>M24*0.15</f>
        <v>3293.4124999999999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3" t="s">
        <v>87</v>
      </c>
      <c r="K28" s="95"/>
      <c r="L28" s="95"/>
      <c r="M28" s="112">
        <f>M24-M26</f>
        <v>18662.670833333334</v>
      </c>
    </row>
    <row r="29" spans="1:14" ht="18" thickBot="1" x14ac:dyDescent="0.35">
      <c r="H29" s="173"/>
      <c r="I29" s="1"/>
    </row>
    <row r="30" spans="1:14" ht="19.5" thickBot="1" x14ac:dyDescent="0.35">
      <c r="A30" s="208" t="s">
        <v>71</v>
      </c>
      <c r="B30" s="160"/>
      <c r="C30" s="161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43" t="s">
        <v>61</v>
      </c>
      <c r="B31" s="134"/>
      <c r="C31" s="134"/>
      <c r="D31" s="134"/>
      <c r="E31" s="134"/>
      <c r="F31" s="134"/>
      <c r="G31" s="213"/>
      <c r="H31" s="135"/>
    </row>
    <row r="32" spans="1:14" ht="18" thickBot="1" x14ac:dyDescent="0.35">
      <c r="I32" s="1"/>
      <c r="J32" s="175" t="s">
        <v>117</v>
      </c>
      <c r="K32" s="175" t="s">
        <v>118</v>
      </c>
      <c r="L32" s="175" t="s">
        <v>119</v>
      </c>
      <c r="M32" s="60"/>
    </row>
    <row r="33" spans="1:13" ht="18" thickBot="1" x14ac:dyDescent="0.35">
      <c r="A33" s="162" t="s">
        <v>81</v>
      </c>
      <c r="B33" s="163"/>
      <c r="C33" s="71"/>
      <c r="D33" s="134" t="s">
        <v>63</v>
      </c>
      <c r="E33" s="134" t="s">
        <v>70</v>
      </c>
      <c r="F33" s="134" t="s">
        <v>72</v>
      </c>
      <c r="G33" s="212"/>
      <c r="H33" s="201">
        <f>SUM(H34:H38)</f>
        <v>77350</v>
      </c>
      <c r="I33" s="1"/>
      <c r="J33" s="176" t="s">
        <v>114</v>
      </c>
      <c r="K33" s="177">
        <v>0.6</v>
      </c>
      <c r="L33" s="178">
        <f>J24*K33</f>
        <v>23772</v>
      </c>
    </row>
    <row r="34" spans="1:13" ht="17.25" x14ac:dyDescent="0.3">
      <c r="A34" s="196" t="s">
        <v>44</v>
      </c>
      <c r="B34" s="196"/>
      <c r="C34" s="1"/>
      <c r="D34" s="60" t="s">
        <v>77</v>
      </c>
      <c r="E34" s="5">
        <v>110</v>
      </c>
      <c r="F34" s="1">
        <v>325</v>
      </c>
      <c r="G34" s="70"/>
      <c r="H34" s="199">
        <f>F34*E34</f>
        <v>35750</v>
      </c>
      <c r="I34" s="1"/>
      <c r="J34" s="176" t="s">
        <v>115</v>
      </c>
      <c r="K34" s="177">
        <v>0.32</v>
      </c>
      <c r="L34" s="178">
        <f>J24*K34</f>
        <v>12678.4</v>
      </c>
    </row>
    <row r="35" spans="1:13" ht="18" thickBot="1" x14ac:dyDescent="0.35">
      <c r="A35" s="196" t="s">
        <v>122</v>
      </c>
      <c r="B35" s="196"/>
      <c r="C35" s="1"/>
      <c r="D35" s="60" t="s">
        <v>77</v>
      </c>
      <c r="E35" s="5">
        <v>100</v>
      </c>
      <c r="F35" s="1">
        <v>325</v>
      </c>
      <c r="G35" s="70"/>
      <c r="H35" s="199">
        <f t="shared" ref="H35:H36" si="1">F35*E35</f>
        <v>32500</v>
      </c>
      <c r="J35" s="179" t="s">
        <v>116</v>
      </c>
      <c r="K35" s="180">
        <v>0.08</v>
      </c>
      <c r="L35" s="181">
        <f>J24*K35</f>
        <v>3169.6</v>
      </c>
      <c r="M35" s="1"/>
    </row>
    <row r="36" spans="1:13" ht="18" thickBot="1" x14ac:dyDescent="0.35">
      <c r="A36" s="196" t="s">
        <v>82</v>
      </c>
      <c r="B36" s="196"/>
      <c r="C36" s="1"/>
      <c r="D36" s="60" t="s">
        <v>77</v>
      </c>
      <c r="E36" s="5">
        <v>6</v>
      </c>
      <c r="F36" s="1">
        <v>325</v>
      </c>
      <c r="G36" s="70"/>
      <c r="H36" s="199">
        <f t="shared" si="1"/>
        <v>1950</v>
      </c>
      <c r="J36" s="182" t="s">
        <v>3</v>
      </c>
      <c r="K36" s="183">
        <f>SUM(K33:K35)</f>
        <v>0.99999999999999989</v>
      </c>
      <c r="L36" s="174">
        <f>SUM(L33:L35)</f>
        <v>39620</v>
      </c>
      <c r="M36" s="1"/>
    </row>
    <row r="37" spans="1:13" ht="17.25" x14ac:dyDescent="0.3">
      <c r="A37" s="196" t="s">
        <v>126</v>
      </c>
      <c r="B37" s="196"/>
      <c r="D37" s="60" t="s">
        <v>77</v>
      </c>
      <c r="E37" s="5">
        <v>10</v>
      </c>
      <c r="F37" s="1">
        <v>325</v>
      </c>
      <c r="G37" s="1"/>
      <c r="H37" s="199">
        <f>F37*E37</f>
        <v>3250</v>
      </c>
      <c r="M37" s="1"/>
    </row>
    <row r="38" spans="1:13" ht="17.25" x14ac:dyDescent="0.3">
      <c r="A38" s="196" t="s">
        <v>129</v>
      </c>
      <c r="B38" s="196"/>
      <c r="D38" s="60" t="s">
        <v>77</v>
      </c>
      <c r="E38" s="5">
        <v>12</v>
      </c>
      <c r="F38" s="1">
        <v>325</v>
      </c>
      <c r="G38" s="1"/>
      <c r="H38" s="199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123</v>
      </c>
      <c r="G40" s="73"/>
      <c r="H40" s="198">
        <f>H33</f>
        <v>77350</v>
      </c>
      <c r="J40" s="173"/>
      <c r="M40" s="1"/>
    </row>
    <row r="41" spans="1:13" ht="18.75" thickBot="1" x14ac:dyDescent="0.35">
      <c r="A41" s="73"/>
      <c r="B41" s="73"/>
      <c r="C41" s="73"/>
      <c r="E41" s="146"/>
      <c r="F41" s="92" t="s">
        <v>79</v>
      </c>
      <c r="G41" s="74">
        <v>0</v>
      </c>
      <c r="H41" s="4"/>
      <c r="J41" s="173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69</v>
      </c>
      <c r="H42" s="200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9" t="s">
        <v>67</v>
      </c>
      <c r="B46" s="210"/>
      <c r="C46" s="211"/>
      <c r="D46" s="1"/>
      <c r="E46" s="1"/>
      <c r="F46" s="1"/>
      <c r="G46" s="1"/>
      <c r="H46" s="1"/>
      <c r="J46" t="s">
        <v>110</v>
      </c>
      <c r="K46" t="s">
        <v>111</v>
      </c>
      <c r="L46" t="s">
        <v>112</v>
      </c>
      <c r="M46" t="s">
        <v>113</v>
      </c>
    </row>
    <row r="47" spans="1:13" ht="18" thickBot="1" x14ac:dyDescent="0.35">
      <c r="A47" s="143" t="s">
        <v>15</v>
      </c>
      <c r="B47" s="134"/>
      <c r="C47" s="134"/>
      <c r="D47" s="205"/>
      <c r="E47" s="206"/>
      <c r="F47" s="134" t="s">
        <v>70</v>
      </c>
      <c r="G47" s="206" t="s">
        <v>16</v>
      </c>
      <c r="H47" s="207" t="s">
        <v>92</v>
      </c>
      <c r="J47" s="167" t="s">
        <v>102</v>
      </c>
      <c r="K47" s="172">
        <v>20000</v>
      </c>
      <c r="L47" s="93">
        <v>1</v>
      </c>
      <c r="M47" s="169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64"/>
      <c r="F48" s="164"/>
      <c r="G48" s="137"/>
      <c r="H48" s="164"/>
      <c r="J48" s="126" t="s">
        <v>103</v>
      </c>
      <c r="K48" s="173">
        <v>3000</v>
      </c>
      <c r="L48">
        <v>4</v>
      </c>
      <c r="M48" s="170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6" t="s">
        <v>104</v>
      </c>
      <c r="K49" s="173">
        <v>5000</v>
      </c>
      <c r="L49">
        <v>2</v>
      </c>
      <c r="M49" s="170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6" t="s">
        <v>105</v>
      </c>
      <c r="K50" s="173">
        <v>8000</v>
      </c>
      <c r="L50">
        <v>1</v>
      </c>
      <c r="M50" s="170">
        <f t="shared" si="2"/>
        <v>8000</v>
      </c>
    </row>
    <row r="51" spans="1:13" ht="17.25" x14ac:dyDescent="0.3">
      <c r="A51" s="1"/>
      <c r="J51" s="126" t="s">
        <v>109</v>
      </c>
      <c r="K51" s="173">
        <v>5000</v>
      </c>
      <c r="L51">
        <v>1</v>
      </c>
      <c r="M51" s="170">
        <f t="shared" si="2"/>
        <v>5000</v>
      </c>
    </row>
    <row r="52" spans="1:13" ht="18" thickBot="1" x14ac:dyDescent="0.35">
      <c r="A52" s="1"/>
      <c r="B52" s="1"/>
      <c r="C52" s="1"/>
      <c r="D52" s="1" t="s">
        <v>175</v>
      </c>
      <c r="E52" s="60"/>
      <c r="F52" s="60"/>
      <c r="G52" s="3"/>
      <c r="H52" s="60"/>
      <c r="J52" s="126" t="s">
        <v>106</v>
      </c>
      <c r="K52" s="173">
        <v>2000</v>
      </c>
      <c r="L52">
        <v>1</v>
      </c>
      <c r="M52" s="170">
        <f t="shared" si="2"/>
        <v>2000</v>
      </c>
    </row>
    <row r="53" spans="1:13" ht="18" thickBot="1" x14ac:dyDescent="0.35">
      <c r="A53" s="1"/>
      <c r="B53" s="1"/>
      <c r="C53" s="1"/>
      <c r="D53" s="1"/>
      <c r="E53" s="129"/>
      <c r="F53" s="62" t="s">
        <v>3</v>
      </c>
      <c r="G53" s="63">
        <f>SUM(G48:G51)</f>
        <v>0</v>
      </c>
      <c r="H53" s="98">
        <f>SUM(H48:H52)</f>
        <v>880000</v>
      </c>
      <c r="J53" s="126" t="s">
        <v>107</v>
      </c>
      <c r="K53" s="173">
        <v>7000</v>
      </c>
      <c r="L53">
        <v>1</v>
      </c>
      <c r="M53" s="170">
        <f t="shared" si="2"/>
        <v>7000</v>
      </c>
    </row>
    <row r="54" spans="1:13" ht="15.75" thickBot="1" x14ac:dyDescent="0.3">
      <c r="J54" s="126" t="s">
        <v>108</v>
      </c>
      <c r="K54" s="173">
        <v>15000</v>
      </c>
      <c r="L54">
        <v>1</v>
      </c>
      <c r="M54" s="170">
        <f t="shared" si="2"/>
        <v>15000</v>
      </c>
    </row>
    <row r="55" spans="1:13" ht="19.5" thickBot="1" x14ac:dyDescent="0.35">
      <c r="A55" s="228" t="s">
        <v>37</v>
      </c>
      <c r="B55" s="214"/>
      <c r="C55" s="214"/>
      <c r="D55" s="214"/>
      <c r="E55" s="301">
        <f>H53</f>
        <v>880000</v>
      </c>
      <c r="F55" s="302"/>
      <c r="G55" s="302"/>
      <c r="H55" s="303"/>
      <c r="I55" s="1"/>
      <c r="J55" s="168"/>
      <c r="K55" s="127"/>
      <c r="L55" s="127"/>
      <c r="M55" s="171">
        <f>SUM(M47:M54)</f>
        <v>79000</v>
      </c>
    </row>
    <row r="56" spans="1:13" ht="18.75" x14ac:dyDescent="0.3">
      <c r="A56" s="216" t="s">
        <v>89</v>
      </c>
      <c r="B56" s="215"/>
      <c r="C56" s="215"/>
      <c r="D56" s="215"/>
      <c r="E56" s="304" t="s">
        <v>163</v>
      </c>
      <c r="F56" s="304"/>
      <c r="G56" s="304"/>
      <c r="H56" s="304"/>
    </row>
    <row r="57" spans="1:13" ht="15.75" thickBot="1" x14ac:dyDescent="0.3"/>
    <row r="58" spans="1:13" ht="20.25" thickBot="1" x14ac:dyDescent="0.3">
      <c r="A58" s="227" t="s">
        <v>46</v>
      </c>
      <c r="B58" s="59"/>
      <c r="C58" s="59"/>
      <c r="D58" s="59"/>
      <c r="E58" s="59"/>
      <c r="F58" s="59"/>
      <c r="G58" s="59"/>
      <c r="H58" s="142"/>
    </row>
    <row r="60" spans="1:13" ht="17.25" x14ac:dyDescent="0.25">
      <c r="A60" s="139" t="s">
        <v>23</v>
      </c>
      <c r="B60" s="140"/>
      <c r="C60" s="140"/>
      <c r="D60" s="141"/>
      <c r="E60" s="230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131870.39000000001</v>
      </c>
      <c r="F60" s="144"/>
      <c r="G60" s="144"/>
      <c r="H60" s="145"/>
    </row>
    <row r="61" spans="1:13" ht="17.25" x14ac:dyDescent="0.25">
      <c r="A61" s="149" t="s">
        <v>51</v>
      </c>
      <c r="B61" s="61"/>
      <c r="C61" s="61"/>
      <c r="D61" s="150"/>
      <c r="E61" s="231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30842.865900000001</v>
      </c>
      <c r="F61" s="79"/>
      <c r="G61" s="79"/>
      <c r="H61" s="154"/>
    </row>
    <row r="62" spans="1:13" ht="17.25" x14ac:dyDescent="0.25">
      <c r="A62" s="149"/>
      <c r="B62" s="61"/>
      <c r="C62" s="61"/>
      <c r="D62" s="150"/>
      <c r="E62" s="231">
        <f>E60+E61</f>
        <v>162713.25590000002</v>
      </c>
      <c r="F62" s="79"/>
      <c r="G62" s="79"/>
      <c r="H62" s="154"/>
    </row>
    <row r="63" spans="1:13" ht="17.25" x14ac:dyDescent="0.25">
      <c r="A63" s="149" t="s">
        <v>54</v>
      </c>
      <c r="B63" s="61"/>
      <c r="C63" s="61"/>
      <c r="D63" s="150"/>
      <c r="E63" s="232">
        <v>0</v>
      </c>
      <c r="F63" s="4"/>
      <c r="G63" s="4"/>
      <c r="H63" s="157"/>
    </row>
    <row r="64" spans="1:13" ht="18" x14ac:dyDescent="0.25">
      <c r="A64" s="151" t="s">
        <v>56</v>
      </c>
      <c r="B64" s="152"/>
      <c r="C64" s="152"/>
      <c r="D64" s="153"/>
      <c r="E64" s="233">
        <f>E62+E63</f>
        <v>162713.25590000002</v>
      </c>
      <c r="F64" s="155"/>
      <c r="G64" s="155"/>
      <c r="H64" s="156"/>
    </row>
    <row r="65" spans="1:11" ht="15.75" thickBot="1" x14ac:dyDescent="0.3"/>
    <row r="66" spans="1:11" ht="19.5" thickBot="1" x14ac:dyDescent="0.35">
      <c r="A66" s="229" t="s">
        <v>38</v>
      </c>
      <c r="B66" s="158"/>
      <c r="C66" s="158"/>
      <c r="D66" s="159"/>
      <c r="E66" s="117" t="s">
        <v>39</v>
      </c>
      <c r="F66" s="117" t="s">
        <v>128</v>
      </c>
      <c r="G66" s="136" t="s">
        <v>68</v>
      </c>
      <c r="H66" s="117" t="s">
        <v>127</v>
      </c>
    </row>
    <row r="67" spans="1:11" ht="17.25" x14ac:dyDescent="0.3">
      <c r="A67" s="84" t="s">
        <v>168</v>
      </c>
      <c r="B67" s="137" t="s">
        <v>172</v>
      </c>
      <c r="C67" s="137"/>
      <c r="D67" s="137"/>
      <c r="E67" s="114">
        <v>0.02</v>
      </c>
      <c r="F67" s="83">
        <f>$E$64*E67</f>
        <v>3254.2651180000003</v>
      </c>
      <c r="G67" s="114">
        <v>0.3</v>
      </c>
      <c r="H67" s="115">
        <f>IF(G67=0,F67,F67-(F67*G67))</f>
        <v>2277.9855826000003</v>
      </c>
    </row>
    <row r="68" spans="1:11" ht="17.25" x14ac:dyDescent="0.3">
      <c r="A68" s="88" t="s">
        <v>167</v>
      </c>
      <c r="B68" s="3" t="s">
        <v>170</v>
      </c>
      <c r="C68" s="3"/>
      <c r="D68" s="3"/>
      <c r="E68" s="257">
        <v>0.15</v>
      </c>
      <c r="F68" s="5">
        <f t="shared" ref="F68:F73" si="3">$E$64*E68</f>
        <v>24406.988385000001</v>
      </c>
      <c r="G68" s="257">
        <v>0.3</v>
      </c>
      <c r="H68" s="87">
        <f t="shared" ref="H68:H73" si="4">IF(G68=0,F68,F68-(F68*G68))</f>
        <v>17084.891869499999</v>
      </c>
    </row>
    <row r="69" spans="1:11" ht="17.25" x14ac:dyDescent="0.3">
      <c r="A69" s="88" t="s">
        <v>166</v>
      </c>
      <c r="B69" s="3" t="s">
        <v>169</v>
      </c>
      <c r="C69" s="3"/>
      <c r="D69" s="3"/>
      <c r="E69" s="257">
        <v>0.2</v>
      </c>
      <c r="F69" s="5">
        <f t="shared" si="3"/>
        <v>32542.651180000004</v>
      </c>
      <c r="G69" s="257">
        <v>0.3</v>
      </c>
      <c r="H69" s="87">
        <f t="shared" si="4"/>
        <v>22779.855826000003</v>
      </c>
      <c r="J69" s="267"/>
    </row>
    <row r="70" spans="1:11" ht="17.25" x14ac:dyDescent="0.3">
      <c r="A70" s="88" t="s">
        <v>47</v>
      </c>
      <c r="B70" s="3" t="s">
        <v>48</v>
      </c>
      <c r="C70" s="3"/>
      <c r="D70" s="3"/>
      <c r="E70" s="257">
        <v>0.1</v>
      </c>
      <c r="F70" s="5">
        <f t="shared" si="3"/>
        <v>16271.325590000002</v>
      </c>
      <c r="G70" s="257">
        <v>0.2</v>
      </c>
      <c r="H70" s="87">
        <f t="shared" si="4"/>
        <v>13017.060472000001</v>
      </c>
      <c r="J70" s="267"/>
    </row>
    <row r="71" spans="1:11" ht="17.25" x14ac:dyDescent="0.3">
      <c r="A71" s="88" t="s">
        <v>59</v>
      </c>
      <c r="B71" s="3" t="s">
        <v>49</v>
      </c>
      <c r="C71" s="3"/>
      <c r="D71" s="3"/>
      <c r="E71" s="257">
        <v>0.2</v>
      </c>
      <c r="F71" s="5">
        <f t="shared" si="3"/>
        <v>32542.651180000004</v>
      </c>
      <c r="G71" s="257">
        <v>0.2</v>
      </c>
      <c r="H71" s="87">
        <f>IF(G71=0,F71,F71-(F71*G71))</f>
        <v>26034.120944000002</v>
      </c>
      <c r="J71" s="267"/>
    </row>
    <row r="72" spans="1:11" ht="17.25" x14ac:dyDescent="0.3">
      <c r="A72" s="88" t="s">
        <v>52</v>
      </c>
      <c r="B72" s="3" t="s">
        <v>171</v>
      </c>
      <c r="C72" s="3"/>
      <c r="D72" s="3"/>
      <c r="E72" s="257">
        <v>0.3</v>
      </c>
      <c r="F72" s="5">
        <f t="shared" si="3"/>
        <v>48813.976770000001</v>
      </c>
      <c r="G72" s="257">
        <v>0</v>
      </c>
      <c r="H72" s="87">
        <f>IF(G72=0,F72,F72-(F72*G72))</f>
        <v>48813.976770000001</v>
      </c>
      <c r="J72" s="267"/>
    </row>
    <row r="73" spans="1:11" ht="18" thickBot="1" x14ac:dyDescent="0.35">
      <c r="A73" s="89" t="s">
        <v>165</v>
      </c>
      <c r="B73" s="138" t="s">
        <v>164</v>
      </c>
      <c r="C73" s="138"/>
      <c r="D73" s="138"/>
      <c r="E73" s="116">
        <v>0.03</v>
      </c>
      <c r="F73" s="85">
        <f t="shared" si="3"/>
        <v>4881.3976769999999</v>
      </c>
      <c r="G73" s="116">
        <v>0</v>
      </c>
      <c r="H73" s="86">
        <f t="shared" si="4"/>
        <v>4881.3976769999999</v>
      </c>
      <c r="J73" s="268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298" t="s">
        <v>96</v>
      </c>
      <c r="F75" s="299"/>
      <c r="G75" s="300"/>
      <c r="H75" s="122">
        <f>H76*(1-(SUM(H67:H73)/H76))</f>
        <v>27823.966758900009</v>
      </c>
    </row>
    <row r="76" spans="1:11" ht="19.5" thickBot="1" x14ac:dyDescent="0.35">
      <c r="B76" s="118"/>
      <c r="C76" s="118"/>
      <c r="E76" s="298" t="s">
        <v>55</v>
      </c>
      <c r="F76" s="299"/>
      <c r="G76" s="300"/>
      <c r="H76" s="122">
        <f>SUM(F67:F73)</f>
        <v>162713.25590000002</v>
      </c>
    </row>
    <row r="77" spans="1:11" ht="15.75" thickBot="1" x14ac:dyDescent="0.3"/>
    <row r="78" spans="1:11" ht="18.75" thickBot="1" x14ac:dyDescent="0.3">
      <c r="E78" s="310" t="s">
        <v>124</v>
      </c>
      <c r="F78" s="311"/>
      <c r="G78" s="312"/>
      <c r="H78" s="119">
        <f>H76-H75</f>
        <v>134889.28914110002</v>
      </c>
      <c r="J78">
        <v>297</v>
      </c>
      <c r="K78">
        <f>J78*30</f>
        <v>8910</v>
      </c>
    </row>
    <row r="79" spans="1:11" ht="17.25" x14ac:dyDescent="0.3">
      <c r="A79" s="1"/>
      <c r="B79" s="256"/>
      <c r="C79" s="202"/>
      <c r="D79" s="202"/>
      <c r="E79" s="60"/>
      <c r="F79" s="184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08" t="s">
        <v>173</v>
      </c>
      <c r="E81" s="309"/>
      <c r="F81" s="269">
        <f>COUNT(D86:E91)</f>
        <v>4</v>
      </c>
      <c r="G81" s="259"/>
      <c r="H81" s="260">
        <f>SUM(H72:H73)/F81</f>
        <v>13423.84361175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08" t="s">
        <v>176</v>
      </c>
      <c r="E83" s="309"/>
      <c r="F83" s="266">
        <f>H83/850</f>
        <v>0.78963785951470589</v>
      </c>
      <c r="G83" s="261"/>
      <c r="H83" s="260">
        <f>H81/20</f>
        <v>671.19218058750005</v>
      </c>
      <c r="M83" s="173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07" t="s">
        <v>159</v>
      </c>
      <c r="E85" s="305"/>
      <c r="F85" s="305" t="s">
        <v>160</v>
      </c>
      <c r="G85" s="305"/>
      <c r="H85" s="262" t="s">
        <v>161</v>
      </c>
    </row>
    <row r="86" spans="4:13" ht="17.25" x14ac:dyDescent="0.3">
      <c r="D86" s="293">
        <v>1</v>
      </c>
      <c r="E86" s="293"/>
      <c r="F86" s="306">
        <v>2</v>
      </c>
      <c r="G86" s="306"/>
      <c r="H86" s="263">
        <f>$H$81</f>
        <v>13423.84361175</v>
      </c>
    </row>
    <row r="87" spans="4:13" ht="17.25" x14ac:dyDescent="0.3">
      <c r="D87" s="306">
        <v>2</v>
      </c>
      <c r="E87" s="306"/>
      <c r="F87" s="306">
        <v>2</v>
      </c>
      <c r="G87" s="306"/>
      <c r="H87" s="263">
        <f t="shared" ref="H87:H89" si="5">$H$81</f>
        <v>13423.84361175</v>
      </c>
    </row>
    <row r="88" spans="4:13" ht="17.25" x14ac:dyDescent="0.3">
      <c r="D88" s="306">
        <v>3</v>
      </c>
      <c r="E88" s="306"/>
      <c r="F88" s="306">
        <v>4</v>
      </c>
      <c r="G88" s="306"/>
      <c r="H88" s="263">
        <f t="shared" si="5"/>
        <v>13423.84361175</v>
      </c>
    </row>
    <row r="89" spans="4:13" ht="17.25" x14ac:dyDescent="0.3">
      <c r="D89" s="306">
        <v>4</v>
      </c>
      <c r="E89" s="306"/>
      <c r="F89" s="306">
        <v>4</v>
      </c>
      <c r="G89" s="306"/>
      <c r="H89" s="263">
        <f t="shared" si="5"/>
        <v>13423.84361175</v>
      </c>
    </row>
    <row r="90" spans="4:13" ht="17.25" x14ac:dyDescent="0.3">
      <c r="D90" s="306"/>
      <c r="E90" s="306"/>
      <c r="F90" s="306"/>
      <c r="G90" s="306"/>
      <c r="H90" s="263"/>
    </row>
    <row r="91" spans="4:13" ht="17.25" x14ac:dyDescent="0.3">
      <c r="D91" s="306"/>
      <c r="E91" s="306"/>
      <c r="F91" s="306"/>
      <c r="G91" s="306"/>
      <c r="H91" s="263"/>
    </row>
    <row r="92" spans="4:13" ht="17.25" x14ac:dyDescent="0.3">
      <c r="D92" s="306"/>
      <c r="E92" s="306"/>
      <c r="F92" s="306"/>
      <c r="G92" s="306"/>
      <c r="H92" s="263"/>
    </row>
    <row r="94" spans="4:13" ht="22.5" customHeight="1" x14ac:dyDescent="0.3">
      <c r="D94" s="307" t="s">
        <v>174</v>
      </c>
      <c r="E94" s="305"/>
      <c r="F94" s="305"/>
      <c r="G94" s="305"/>
      <c r="H94" s="260">
        <f>SUM(H86:H91)</f>
        <v>53695.374447000002</v>
      </c>
    </row>
    <row r="95" spans="4:13" ht="17.25" x14ac:dyDescent="0.3">
      <c r="D95" s="3"/>
      <c r="E95" s="1"/>
      <c r="F95" s="1"/>
      <c r="G95" s="3"/>
      <c r="H95" s="263"/>
    </row>
    <row r="96" spans="4:13" ht="17.25" x14ac:dyDescent="0.3">
      <c r="D96" s="264" t="s">
        <v>162</v>
      </c>
      <c r="E96" s="259"/>
      <c r="F96" s="259"/>
      <c r="G96" s="259"/>
      <c r="H96" s="265">
        <f>SUM(F86:F89)</f>
        <v>12</v>
      </c>
      <c r="J96" s="258"/>
      <c r="L96" s="173"/>
    </row>
    <row r="97" spans="4:14" x14ac:dyDescent="0.25">
      <c r="L97" s="258"/>
      <c r="M97" s="173"/>
    </row>
    <row r="99" spans="4:14" x14ac:dyDescent="0.25">
      <c r="M99" s="94"/>
    </row>
    <row r="102" spans="4:14" x14ac:dyDescent="0.25">
      <c r="N102" s="173"/>
    </row>
    <row r="105" spans="4:14" x14ac:dyDescent="0.25">
      <c r="K105" s="121"/>
    </row>
    <row r="106" spans="4:14" x14ac:dyDescent="0.25">
      <c r="K106" s="120"/>
    </row>
    <row r="107" spans="4:14" x14ac:dyDescent="0.25">
      <c r="D107" s="297"/>
      <c r="E107" s="297"/>
    </row>
    <row r="108" spans="4:14" x14ac:dyDescent="0.25">
      <c r="D108" s="297"/>
      <c r="E108" s="297"/>
    </row>
    <row r="109" spans="4:14" x14ac:dyDescent="0.25">
      <c r="D109" s="297"/>
      <c r="E109" s="297"/>
    </row>
  </sheetData>
  <mergeCells count="39"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N116"/>
  <sheetViews>
    <sheetView tabSelected="1" topLeftCell="A29" zoomScaleNormal="100" workbookViewId="0">
      <selection activeCell="D57" sqref="D5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1"/>
      <c r="B1" s="221"/>
      <c r="C1" s="221"/>
      <c r="D1" s="221"/>
      <c r="E1" s="221"/>
      <c r="F1" s="221"/>
      <c r="G1" s="221"/>
      <c r="H1" s="221"/>
      <c r="I1" s="1"/>
      <c r="J1" s="1"/>
      <c r="K1" s="1"/>
      <c r="L1" s="1"/>
      <c r="M1" s="1"/>
    </row>
    <row r="2" spans="1:13" ht="17.25" x14ac:dyDescent="0.3">
      <c r="A2" s="221"/>
      <c r="B2" s="221"/>
      <c r="C2" s="221"/>
      <c r="D2" s="221"/>
      <c r="E2" s="221"/>
      <c r="F2" s="221"/>
      <c r="G2" s="221"/>
      <c r="H2" s="221"/>
      <c r="I2" s="2"/>
      <c r="J2" s="2"/>
      <c r="K2" s="1"/>
      <c r="L2" s="1"/>
      <c r="M2" s="1"/>
    </row>
    <row r="3" spans="1:13" ht="17.25" x14ac:dyDescent="0.3">
      <c r="A3" s="221"/>
      <c r="B3" s="221"/>
      <c r="C3" s="221"/>
      <c r="D3" s="221"/>
      <c r="E3" s="221"/>
      <c r="F3" s="221"/>
      <c r="G3" s="221"/>
      <c r="H3" s="221"/>
      <c r="I3" s="2"/>
      <c r="J3" s="2"/>
      <c r="K3" s="1"/>
      <c r="L3" s="1"/>
      <c r="M3" s="1"/>
    </row>
    <row r="4" spans="1:13" ht="17.25" x14ac:dyDescent="0.3">
      <c r="A4" s="221"/>
      <c r="B4" s="221"/>
      <c r="C4" s="221"/>
      <c r="D4" s="221"/>
      <c r="E4" s="221"/>
      <c r="F4" s="221"/>
      <c r="G4" s="221"/>
      <c r="H4" s="221"/>
      <c r="I4" s="2"/>
      <c r="J4" s="2"/>
      <c r="K4" s="1"/>
      <c r="L4" s="1"/>
      <c r="M4" s="1"/>
    </row>
    <row r="5" spans="1:13" ht="17.25" x14ac:dyDescent="0.3">
      <c r="A5" s="221"/>
      <c r="B5" s="221"/>
      <c r="C5" s="221"/>
      <c r="D5" s="221"/>
      <c r="E5" s="221"/>
      <c r="F5" s="221"/>
      <c r="G5" s="221"/>
      <c r="H5" s="221"/>
      <c r="I5" s="2"/>
      <c r="J5" s="2"/>
      <c r="K5" s="1"/>
      <c r="L5" s="1"/>
      <c r="M5" s="1"/>
    </row>
    <row r="6" spans="1:13" ht="17.25" x14ac:dyDescent="0.3">
      <c r="A6" s="221"/>
      <c r="B6" s="221"/>
      <c r="C6" s="221"/>
      <c r="D6" s="221"/>
      <c r="E6" s="221"/>
      <c r="F6" s="221"/>
      <c r="G6" s="221"/>
      <c r="H6" s="221"/>
      <c r="I6" s="1"/>
      <c r="J6" s="1"/>
      <c r="K6" s="1"/>
      <c r="L6" s="1"/>
      <c r="M6" s="1"/>
    </row>
    <row r="7" spans="1:13" ht="17.25" x14ac:dyDescent="0.3">
      <c r="A7" s="221"/>
      <c r="B7" s="221"/>
      <c r="C7" s="221"/>
      <c r="D7" s="221"/>
      <c r="E7" s="221"/>
      <c r="F7" s="221"/>
      <c r="G7" s="221"/>
      <c r="H7" s="221"/>
      <c r="I7" s="2"/>
      <c r="J7" s="2"/>
      <c r="K7" s="1"/>
      <c r="L7" s="1"/>
      <c r="M7" s="1"/>
    </row>
    <row r="8" spans="1:13" ht="17.25" x14ac:dyDescent="0.3">
      <c r="A8" s="221"/>
      <c r="B8" s="221"/>
      <c r="C8" s="221"/>
      <c r="D8" s="221"/>
      <c r="E8" s="221"/>
      <c r="F8" s="221"/>
      <c r="G8" s="221"/>
      <c r="H8" s="221"/>
      <c r="I8" s="2"/>
      <c r="J8" s="2"/>
      <c r="K8" s="1"/>
      <c r="L8" s="1"/>
      <c r="M8" s="1"/>
    </row>
    <row r="9" spans="1:13" ht="17.25" x14ac:dyDescent="0.3">
      <c r="A9" s="221"/>
      <c r="B9" s="221"/>
      <c r="C9" s="221"/>
      <c r="D9" s="221"/>
      <c r="E9" s="221"/>
      <c r="F9" s="221"/>
      <c r="G9" s="221"/>
      <c r="H9" s="221"/>
      <c r="I9" s="1"/>
      <c r="K9" s="3"/>
      <c r="L9" s="1"/>
      <c r="M9" s="1"/>
    </row>
    <row r="10" spans="1:13" ht="18" thickBot="1" x14ac:dyDescent="0.35">
      <c r="A10" s="221"/>
      <c r="B10" s="221"/>
      <c r="C10" s="221"/>
      <c r="D10" s="221"/>
      <c r="E10" s="221"/>
      <c r="F10" s="221"/>
      <c r="G10" s="221"/>
      <c r="H10" s="221"/>
      <c r="I10" s="2"/>
      <c r="J10" s="2"/>
      <c r="K10" s="3"/>
      <c r="L10" s="1"/>
      <c r="M10" s="1"/>
    </row>
    <row r="11" spans="1:13" ht="21" thickBot="1" x14ac:dyDescent="0.35">
      <c r="A11" s="286" t="s">
        <v>14</v>
      </c>
      <c r="B11" s="287"/>
      <c r="C11" s="287"/>
      <c r="D11" s="287"/>
      <c r="E11" s="287"/>
      <c r="F11" s="287"/>
      <c r="G11" s="287"/>
      <c r="H11" s="288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89" t="s">
        <v>65</v>
      </c>
      <c r="B13" s="290"/>
      <c r="C13" s="291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92" t="s">
        <v>61</v>
      </c>
      <c r="B14" s="293"/>
      <c r="C14" s="293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95" t="s">
        <v>81</v>
      </c>
      <c r="B15" s="296"/>
      <c r="C15" s="71"/>
      <c r="D15" s="71"/>
      <c r="E15" s="71"/>
      <c r="F15" s="76">
        <f>SUM(F16:F28)</f>
        <v>52</v>
      </c>
      <c r="G15" s="270">
        <f>SUM(G16:G28)</f>
        <v>6.5</v>
      </c>
      <c r="H15" s="201">
        <f>SUM(H16:H28)</f>
        <v>32728</v>
      </c>
      <c r="I15" s="1"/>
      <c r="J15" s="279" t="s">
        <v>75</v>
      </c>
      <c r="K15" s="280"/>
      <c r="L15" s="281"/>
      <c r="M15" s="166">
        <f>G15</f>
        <v>6.5</v>
      </c>
    </row>
    <row r="16" spans="1:13" ht="17.25" x14ac:dyDescent="0.3">
      <c r="A16" s="196" t="s">
        <v>191</v>
      </c>
      <c r="D16" s="60" t="s">
        <v>77</v>
      </c>
      <c r="E16" s="60">
        <f>IF(D16="Dewald", Employees!$G$19,IF(D16="Hannes",Employees!$G$19,IF(D16="Johan",Employees!$G$21,"")))</f>
        <v>672</v>
      </c>
      <c r="F16" s="3">
        <v>1</v>
      </c>
      <c r="G16" s="197">
        <f>F16/8</f>
        <v>0.125</v>
      </c>
      <c r="H16" s="199">
        <f>F16*E16</f>
        <v>672</v>
      </c>
      <c r="I16" s="1"/>
      <c r="M16" s="3"/>
    </row>
    <row r="17" spans="1:14" ht="17.25" x14ac:dyDescent="0.3">
      <c r="A17" s="196" t="s">
        <v>192</v>
      </c>
      <c r="D17" s="60" t="s">
        <v>77</v>
      </c>
      <c r="E17" s="60">
        <f>IF(D17="Dewald", Employees!$G$19,IF(D17="Hannes",Employees!$G$19,IF(D17="Johan",Employees!$G$21,"")))</f>
        <v>672</v>
      </c>
      <c r="F17" s="3">
        <v>2</v>
      </c>
      <c r="G17" s="197">
        <f t="shared" ref="G17:G28" si="0">F17/8</f>
        <v>0.25</v>
      </c>
      <c r="H17" s="199">
        <f t="shared" ref="H17:H20" si="1">F17*E17</f>
        <v>1344</v>
      </c>
      <c r="I17" s="1"/>
      <c r="M17" s="3"/>
    </row>
    <row r="18" spans="1:14" ht="17.25" x14ac:dyDescent="0.3">
      <c r="A18" s="196" t="s">
        <v>193</v>
      </c>
      <c r="D18" s="60" t="s">
        <v>77</v>
      </c>
      <c r="E18" s="60">
        <f>IF(D18="Dewald", Employees!$G$19,IF(D18="Hannes",Employees!$G$19,IF(D18="Johan",Employees!$G$21,"")))</f>
        <v>672</v>
      </c>
      <c r="F18" s="3">
        <v>2</v>
      </c>
      <c r="G18" s="197">
        <f t="shared" si="0"/>
        <v>0.25</v>
      </c>
      <c r="H18" s="199">
        <f t="shared" si="1"/>
        <v>1344</v>
      </c>
      <c r="I18" s="1"/>
      <c r="M18" s="3"/>
    </row>
    <row r="19" spans="1:14" ht="17.25" x14ac:dyDescent="0.3">
      <c r="A19" s="196" t="s">
        <v>194</v>
      </c>
      <c r="D19" s="60" t="s">
        <v>77</v>
      </c>
      <c r="E19" s="60">
        <f>IF(D19="Dewald", Employees!$G$19,IF(D19="Hannes",Employees!$G$19,IF(D19="Johan",Employees!$G$21,"")))</f>
        <v>672</v>
      </c>
      <c r="F19" s="3">
        <v>1.5</v>
      </c>
      <c r="G19" s="197">
        <f t="shared" si="0"/>
        <v>0.1875</v>
      </c>
      <c r="H19" s="199">
        <f t="shared" si="1"/>
        <v>1008</v>
      </c>
      <c r="I19" s="1"/>
      <c r="M19" s="3"/>
    </row>
    <row r="20" spans="1:14" ht="17.25" x14ac:dyDescent="0.3">
      <c r="A20" s="196" t="s">
        <v>195</v>
      </c>
      <c r="D20" s="60" t="s">
        <v>77</v>
      </c>
      <c r="E20" s="60">
        <f>IF(D20="Dewald", Employees!$G$19,IF(D20="Hannes",Employees!$G$19,IF(D20="Johan",Employees!$G$21,"")))</f>
        <v>672</v>
      </c>
      <c r="F20" s="3">
        <v>1.5</v>
      </c>
      <c r="G20" s="197">
        <f t="shared" si="0"/>
        <v>0.1875</v>
      </c>
      <c r="H20" s="199">
        <f t="shared" si="1"/>
        <v>1008</v>
      </c>
      <c r="I20" s="1"/>
      <c r="M20" s="3"/>
    </row>
    <row r="21" spans="1:14" ht="17.25" x14ac:dyDescent="0.3">
      <c r="G21" s="197">
        <f t="shared" si="0"/>
        <v>0</v>
      </c>
    </row>
    <row r="22" spans="1:14" ht="18" thickBot="1" x14ac:dyDescent="0.35">
      <c r="A22" s="196" t="s">
        <v>187</v>
      </c>
      <c r="B22" s="271"/>
      <c r="C22" s="271"/>
      <c r="D22" s="60" t="s">
        <v>77</v>
      </c>
      <c r="E22" s="60">
        <f>IF(D22="Dewald", Employees!$G$19,IF(D22="Hannes",Employees!$G$19,IF(D22="Johan",Employees!$G$21,"")))</f>
        <v>672</v>
      </c>
      <c r="F22" s="3">
        <v>8</v>
      </c>
      <c r="G22" s="197">
        <f t="shared" si="0"/>
        <v>1</v>
      </c>
      <c r="H22" s="199">
        <f>F22*E22</f>
        <v>5376</v>
      </c>
      <c r="I22" s="1"/>
      <c r="M22" s="3"/>
    </row>
    <row r="23" spans="1:14" ht="18" thickBot="1" x14ac:dyDescent="0.35">
      <c r="A23" s="196" t="s">
        <v>188</v>
      </c>
      <c r="D23" s="60" t="s">
        <v>77</v>
      </c>
      <c r="E23" s="60">
        <f>IF(D23="Dewald", Employees!$G$19,IF(D23="Hannes",Employees!$G$19,IF(D23="Johan",Employees!$G$21,"")))</f>
        <v>672</v>
      </c>
      <c r="F23" s="3">
        <v>8</v>
      </c>
      <c r="G23" s="197">
        <f t="shared" si="0"/>
        <v>1</v>
      </c>
      <c r="H23" s="199">
        <f t="shared" ref="H23:H25" si="2">F23*E23</f>
        <v>5376</v>
      </c>
      <c r="I23" s="1"/>
      <c r="J23" s="282" t="s">
        <v>78</v>
      </c>
      <c r="K23" s="283"/>
      <c r="L23" s="284"/>
      <c r="M23" s="110">
        <f>H31/M15</f>
        <v>5035.0769230769229</v>
      </c>
    </row>
    <row r="24" spans="1:14" ht="17.25" x14ac:dyDescent="0.3">
      <c r="A24" s="196" t="s">
        <v>189</v>
      </c>
      <c r="D24" s="60" t="s">
        <v>77</v>
      </c>
      <c r="E24" s="60">
        <f>IF(D24="Dewald", Employees!$G$19,IF(D24="Hannes",Employees!$G$19,IF(D24="Johan",Employees!$G$21,"")))</f>
        <v>672</v>
      </c>
      <c r="F24" s="3">
        <v>8</v>
      </c>
      <c r="G24" s="197">
        <f t="shared" si="0"/>
        <v>1</v>
      </c>
      <c r="H24" s="199">
        <f t="shared" si="2"/>
        <v>5376</v>
      </c>
      <c r="I24" s="1"/>
    </row>
    <row r="25" spans="1:14" ht="17.25" x14ac:dyDescent="0.3">
      <c r="A25" s="196" t="s">
        <v>190</v>
      </c>
      <c r="D25" s="60" t="s">
        <v>77</v>
      </c>
      <c r="E25" s="60">
        <f>IF(D25="Dewald", Employees!$G$19,IF(D25="Hannes",Employees!$G$19,IF(D25="Johan",Employees!$G$21,"")))</f>
        <v>672</v>
      </c>
      <c r="F25" s="3">
        <v>8</v>
      </c>
      <c r="G25" s="197">
        <f t="shared" si="0"/>
        <v>1</v>
      </c>
      <c r="H25" s="199">
        <f t="shared" si="2"/>
        <v>5376</v>
      </c>
      <c r="I25" s="1"/>
      <c r="M25" s="97"/>
    </row>
    <row r="26" spans="1:14" ht="17.25" x14ac:dyDescent="0.3">
      <c r="A26" s="196"/>
      <c r="G26" s="197">
        <f t="shared" si="0"/>
        <v>0</v>
      </c>
      <c r="I26" s="1"/>
      <c r="M26" s="97"/>
    </row>
    <row r="27" spans="1:14" ht="18" thickBot="1" x14ac:dyDescent="0.35">
      <c r="A27" s="1" t="s">
        <v>178</v>
      </c>
      <c r="B27" s="1"/>
      <c r="C27" s="1"/>
      <c r="D27" s="60" t="s">
        <v>130</v>
      </c>
      <c r="E27" s="60">
        <f>IF(D27="Dewald", Employees!$G$19,IF(D27="Hannes",Employees!$G$19,IF(D27="Johan",Employees!$G$21,"")))</f>
        <v>395</v>
      </c>
      <c r="F27" s="3">
        <v>8</v>
      </c>
      <c r="G27" s="197">
        <f t="shared" si="0"/>
        <v>1</v>
      </c>
      <c r="H27" s="199">
        <f>F27*E27</f>
        <v>3160</v>
      </c>
      <c r="I27" s="1"/>
    </row>
    <row r="28" spans="1:14" ht="18" thickBot="1" x14ac:dyDescent="0.35">
      <c r="A28" s="196" t="s">
        <v>179</v>
      </c>
      <c r="B28" s="1"/>
      <c r="C28" s="1"/>
      <c r="D28" s="60" t="s">
        <v>77</v>
      </c>
      <c r="E28" s="60">
        <f>IF(D28="Dewald", Employees!$G$19,IF(D28="Hannes",Employees!$G$19,IF(D28="Johan",Employees!$G$21,"")))</f>
        <v>672</v>
      </c>
      <c r="F28" s="3">
        <v>4</v>
      </c>
      <c r="G28" s="197">
        <f t="shared" si="0"/>
        <v>0.5</v>
      </c>
      <c r="H28" s="199">
        <f>F28*E28</f>
        <v>2688</v>
      </c>
      <c r="I28" s="1"/>
      <c r="J28" s="105" t="s">
        <v>95</v>
      </c>
      <c r="K28" s="107" t="s">
        <v>88</v>
      </c>
      <c r="L28" s="108" t="s">
        <v>83</v>
      </c>
      <c r="M28" s="109" t="s">
        <v>86</v>
      </c>
      <c r="N28" s="106" t="s">
        <v>84</v>
      </c>
    </row>
    <row r="29" spans="1:14" ht="18" x14ac:dyDescent="0.3">
      <c r="A29" s="73"/>
      <c r="B29" s="73"/>
      <c r="D29" s="92"/>
      <c r="F29" s="92" t="s">
        <v>80</v>
      </c>
      <c r="G29" s="73"/>
      <c r="H29" s="198">
        <f>H15</f>
        <v>32728</v>
      </c>
      <c r="I29" s="1"/>
      <c r="J29" s="111">
        <f>H31</f>
        <v>32728</v>
      </c>
      <c r="K29" s="60">
        <f>J29*0.05</f>
        <v>1636.4</v>
      </c>
      <c r="L29" s="60">
        <f>J29-K29</f>
        <v>31091.599999999999</v>
      </c>
      <c r="M29" s="111">
        <f>L29-N29</f>
        <v>18136.766666666663</v>
      </c>
      <c r="N29" s="113">
        <f>L29/2.4</f>
        <v>12954.833333333334</v>
      </c>
    </row>
    <row r="30" spans="1:14" ht="18.75" thickBot="1" x14ac:dyDescent="0.35">
      <c r="A30" s="73"/>
      <c r="B30" s="73"/>
      <c r="C30" s="73"/>
      <c r="F30" s="92" t="s">
        <v>79</v>
      </c>
      <c r="G30" s="74">
        <v>0</v>
      </c>
      <c r="H30" s="198">
        <f>H29*G30</f>
        <v>0</v>
      </c>
      <c r="I30" s="1"/>
      <c r="M30" s="97"/>
    </row>
    <row r="31" spans="1:14" ht="19.5" thickBot="1" x14ac:dyDescent="0.35">
      <c r="A31" s="1"/>
      <c r="B31" s="1"/>
      <c r="C31" s="1"/>
      <c r="D31" s="1"/>
      <c r="F31" s="147" t="s">
        <v>69</v>
      </c>
      <c r="G31" s="148"/>
      <c r="H31" s="200">
        <f>(H29-H30)</f>
        <v>32728</v>
      </c>
      <c r="I31" s="1"/>
      <c r="J31" s="104" t="s">
        <v>85</v>
      </c>
      <c r="K31" s="95"/>
      <c r="L31" s="95"/>
      <c r="M31" s="112">
        <f>M29*0.15</f>
        <v>2720.5149999999994</v>
      </c>
    </row>
    <row r="32" spans="1:14" ht="18" thickBot="1" x14ac:dyDescent="0.35">
      <c r="A32" s="1"/>
      <c r="B32" s="1"/>
      <c r="C32" s="1"/>
      <c r="D32" s="1"/>
      <c r="E32" s="1"/>
      <c r="F32" s="1"/>
      <c r="G32" s="1"/>
      <c r="H32" s="1"/>
      <c r="I32" s="1"/>
    </row>
    <row r="33" spans="1:13" ht="18" thickBot="1" x14ac:dyDescent="0.35">
      <c r="A33" s="78"/>
      <c r="B33" s="78"/>
      <c r="C33" s="78"/>
      <c r="D33" s="78"/>
      <c r="E33" s="78"/>
      <c r="F33" s="78"/>
      <c r="G33" s="78"/>
      <c r="H33" s="78"/>
      <c r="I33" s="1"/>
      <c r="J33" s="103" t="s">
        <v>87</v>
      </c>
      <c r="K33" s="95"/>
      <c r="L33" s="95"/>
      <c r="M33" s="112">
        <f>M29-M31</f>
        <v>15416.251666666663</v>
      </c>
    </row>
    <row r="34" spans="1:13" ht="18" thickBot="1" x14ac:dyDescent="0.35">
      <c r="H34" s="173"/>
      <c r="I34" s="1"/>
    </row>
    <row r="35" spans="1:13" ht="19.5" thickBot="1" x14ac:dyDescent="0.35">
      <c r="A35" s="208" t="s">
        <v>71</v>
      </c>
      <c r="B35" s="160"/>
      <c r="C35" s="161"/>
      <c r="D35" s="1"/>
      <c r="E35" s="3"/>
      <c r="F35" s="1"/>
      <c r="G35" s="1"/>
      <c r="H35" s="1"/>
      <c r="I35" s="1"/>
      <c r="J35" s="1"/>
      <c r="K35" s="94"/>
      <c r="M35" s="97"/>
    </row>
    <row r="36" spans="1:13" ht="18" thickBot="1" x14ac:dyDescent="0.35">
      <c r="A36" s="143" t="s">
        <v>61</v>
      </c>
      <c r="B36" s="134"/>
      <c r="C36" s="134"/>
      <c r="D36" s="134"/>
      <c r="E36" s="134"/>
      <c r="F36" s="134"/>
      <c r="G36" s="213"/>
      <c r="H36" s="135"/>
    </row>
    <row r="37" spans="1:13" ht="18" thickBot="1" x14ac:dyDescent="0.35">
      <c r="I37" s="1"/>
      <c r="J37" s="175" t="s">
        <v>117</v>
      </c>
      <c r="K37" s="175" t="s">
        <v>118</v>
      </c>
      <c r="L37" s="175" t="s">
        <v>119</v>
      </c>
      <c r="M37" s="60"/>
    </row>
    <row r="38" spans="1:13" ht="18" thickBot="1" x14ac:dyDescent="0.35">
      <c r="A38" s="162" t="s">
        <v>81</v>
      </c>
      <c r="B38" s="163"/>
      <c r="C38" s="71"/>
      <c r="D38" s="134" t="s">
        <v>63</v>
      </c>
      <c r="E38" s="134" t="s">
        <v>70</v>
      </c>
      <c r="F38" s="134" t="s">
        <v>72</v>
      </c>
      <c r="G38" s="212"/>
      <c r="H38" s="201">
        <f>SUM(H39:H46)</f>
        <v>46237.2</v>
      </c>
      <c r="I38" s="1"/>
      <c r="J38" s="176" t="s">
        <v>114</v>
      </c>
      <c r="K38" s="177">
        <v>0.6</v>
      </c>
      <c r="L38" s="178">
        <f>J29*K38</f>
        <v>19636.8</v>
      </c>
    </row>
    <row r="39" spans="1:13" ht="17.25" x14ac:dyDescent="0.3">
      <c r="A39" s="1" t="s">
        <v>196</v>
      </c>
      <c r="D39" s="60" t="s">
        <v>77</v>
      </c>
      <c r="E39" s="129">
        <v>15</v>
      </c>
      <c r="F39" s="1">
        <v>1419.83</v>
      </c>
      <c r="G39" s="320"/>
      <c r="H39" s="199">
        <f t="shared" ref="H39:H43" si="3">F39*E39</f>
        <v>21297.449999999997</v>
      </c>
      <c r="I39" s="1"/>
      <c r="J39" s="176" t="s">
        <v>115</v>
      </c>
      <c r="K39" s="177">
        <v>0.32</v>
      </c>
      <c r="L39" s="178">
        <f>J29*K39</f>
        <v>10472.960000000001</v>
      </c>
    </row>
    <row r="40" spans="1:13" ht="18" thickBot="1" x14ac:dyDescent="0.35">
      <c r="A40" s="1" t="s">
        <v>185</v>
      </c>
      <c r="D40" s="60" t="s">
        <v>77</v>
      </c>
      <c r="E40" s="129">
        <v>50</v>
      </c>
      <c r="F40" s="1">
        <v>220.5</v>
      </c>
      <c r="H40" s="199">
        <f t="shared" si="3"/>
        <v>11025</v>
      </c>
      <c r="J40" s="179" t="s">
        <v>116</v>
      </c>
      <c r="K40" s="180">
        <v>0.08</v>
      </c>
      <c r="L40" s="181">
        <f>J29*K40</f>
        <v>2618.2400000000002</v>
      </c>
      <c r="M40" s="1"/>
    </row>
    <row r="41" spans="1:13" ht="18" thickBot="1" x14ac:dyDescent="0.35">
      <c r="A41" s="1" t="s">
        <v>186</v>
      </c>
      <c r="D41" s="60" t="s">
        <v>77</v>
      </c>
      <c r="E41" s="129">
        <v>25</v>
      </c>
      <c r="F41" s="1">
        <v>80.39</v>
      </c>
      <c r="H41" s="199">
        <f t="shared" si="3"/>
        <v>2009.75</v>
      </c>
      <c r="J41" s="182" t="s">
        <v>3</v>
      </c>
      <c r="K41" s="183">
        <f>SUM(K38:K40)</f>
        <v>0.99999999999999989</v>
      </c>
      <c r="L41" s="174">
        <f>SUM(L38:L40)</f>
        <v>32728.000000000004</v>
      </c>
      <c r="M41" s="1"/>
    </row>
    <row r="42" spans="1:13" ht="17.25" x14ac:dyDescent="0.3">
      <c r="M42" s="1"/>
    </row>
    <row r="43" spans="1:13" ht="17.25" x14ac:dyDescent="0.3">
      <c r="A43" s="319" t="s">
        <v>183</v>
      </c>
      <c r="E43" s="129">
        <v>50</v>
      </c>
      <c r="F43" s="1">
        <v>145.97</v>
      </c>
      <c r="H43" s="199">
        <f t="shared" si="3"/>
        <v>7298.5</v>
      </c>
      <c r="M43" s="1"/>
    </row>
    <row r="44" spans="1:13" ht="17.25" x14ac:dyDescent="0.3">
      <c r="A44" s="1" t="s">
        <v>184</v>
      </c>
      <c r="D44" s="60" t="s">
        <v>77</v>
      </c>
      <c r="E44" s="129">
        <v>50</v>
      </c>
      <c r="F44" s="1">
        <v>40.130000000000003</v>
      </c>
      <c r="H44" s="199">
        <f>F44*E44</f>
        <v>2006.5000000000002</v>
      </c>
      <c r="M44" s="1"/>
    </row>
    <row r="45" spans="1:13" ht="17.25" x14ac:dyDescent="0.3">
      <c r="A45" s="196" t="s">
        <v>82</v>
      </c>
      <c r="B45" s="196"/>
      <c r="C45" s="1"/>
      <c r="D45" s="60" t="s">
        <v>77</v>
      </c>
      <c r="E45" s="129">
        <v>5.6</v>
      </c>
      <c r="F45" s="272">
        <f>G45/E45</f>
        <v>464.28571428571433</v>
      </c>
      <c r="G45" s="70">
        <v>2600</v>
      </c>
      <c r="H45" s="199">
        <f>F45*E45</f>
        <v>2600</v>
      </c>
      <c r="M45" s="1"/>
    </row>
    <row r="46" spans="1:13" ht="17.25" x14ac:dyDescent="0.3">
      <c r="A46" s="196"/>
      <c r="B46" s="196"/>
      <c r="C46" s="1"/>
      <c r="D46" s="60"/>
      <c r="E46" s="129"/>
      <c r="F46" s="1"/>
      <c r="G46" s="70"/>
      <c r="H46" s="199"/>
      <c r="M46" s="1"/>
    </row>
    <row r="47" spans="1:13" ht="18" x14ac:dyDescent="0.3">
      <c r="A47" s="73"/>
      <c r="C47" s="73"/>
      <c r="D47" s="73"/>
      <c r="F47" s="92" t="s">
        <v>123</v>
      </c>
      <c r="G47" s="73"/>
      <c r="H47" s="198">
        <f>H38</f>
        <v>46237.2</v>
      </c>
      <c r="J47" s="173"/>
      <c r="M47" s="1"/>
    </row>
    <row r="48" spans="1:13" ht="18.75" thickBot="1" x14ac:dyDescent="0.35">
      <c r="A48" s="73"/>
      <c r="B48" s="73"/>
      <c r="C48" s="73"/>
      <c r="E48" s="146"/>
      <c r="F48" s="92" t="s">
        <v>79</v>
      </c>
      <c r="G48" s="74">
        <v>0</v>
      </c>
      <c r="H48" s="4"/>
      <c r="J48" s="173"/>
      <c r="M48" s="1"/>
    </row>
    <row r="49" spans="1:13" ht="19.5" thickBot="1" x14ac:dyDescent="0.35">
      <c r="A49" s="1"/>
      <c r="B49" s="1"/>
      <c r="C49" s="1"/>
      <c r="D49" s="1"/>
      <c r="E49" s="1"/>
      <c r="F49" s="1"/>
      <c r="G49" s="75" t="s">
        <v>69</v>
      </c>
      <c r="H49" s="200">
        <f>H47</f>
        <v>46237.2</v>
      </c>
      <c r="J49">
        <f>H49/M23</f>
        <v>9.1830175996088972</v>
      </c>
      <c r="L49" s="1"/>
      <c r="M49" s="94"/>
    </row>
    <row r="50" spans="1:13" ht="17.25" x14ac:dyDescent="0.3">
      <c r="A50" s="1"/>
      <c r="B50" s="1"/>
      <c r="C50" s="1"/>
      <c r="D50" s="1"/>
      <c r="E50" s="1"/>
      <c r="F50" s="1"/>
      <c r="G50" s="1"/>
      <c r="H50" s="1"/>
    </row>
    <row r="51" spans="1:13" ht="17.25" x14ac:dyDescent="0.3">
      <c r="A51" s="78"/>
      <c r="B51" s="78"/>
      <c r="C51" s="78"/>
      <c r="D51" s="78"/>
      <c r="E51" s="78"/>
      <c r="F51" s="78"/>
      <c r="G51" s="78"/>
      <c r="H51" s="78"/>
      <c r="J51" s="5"/>
      <c r="K51" s="5"/>
      <c r="M51" s="1"/>
    </row>
    <row r="52" spans="1:13" ht="18" thickBot="1" x14ac:dyDescent="0.35">
      <c r="L52" s="1"/>
      <c r="M52" s="1"/>
    </row>
    <row r="53" spans="1:13" ht="19.5" thickBot="1" x14ac:dyDescent="0.35">
      <c r="A53" s="209" t="s">
        <v>67</v>
      </c>
      <c r="B53" s="210"/>
      <c r="C53" s="211"/>
      <c r="D53" s="1"/>
      <c r="E53" s="1"/>
      <c r="F53" s="1"/>
      <c r="G53" s="1"/>
      <c r="H53" s="1"/>
      <c r="J53" t="s">
        <v>110</v>
      </c>
      <c r="K53" t="s">
        <v>111</v>
      </c>
      <c r="L53" t="s">
        <v>112</v>
      </c>
      <c r="M53" t="s">
        <v>113</v>
      </c>
    </row>
    <row r="54" spans="1:13" ht="18" thickBot="1" x14ac:dyDescent="0.35">
      <c r="A54" s="143" t="s">
        <v>15</v>
      </c>
      <c r="B54" s="134"/>
      <c r="C54" s="134"/>
      <c r="D54" s="205"/>
      <c r="E54" s="206"/>
      <c r="F54" s="134" t="s">
        <v>70</v>
      </c>
      <c r="G54" s="206" t="s">
        <v>16</v>
      </c>
      <c r="H54" s="207" t="s">
        <v>92</v>
      </c>
      <c r="J54" s="167" t="s">
        <v>102</v>
      </c>
      <c r="K54" s="172">
        <v>20000</v>
      </c>
      <c r="L54" s="93">
        <v>1</v>
      </c>
      <c r="M54" s="169">
        <f t="shared" ref="M54:M61" si="4">K54*L54</f>
        <v>20000</v>
      </c>
    </row>
    <row r="55" spans="1:13" ht="17.25" x14ac:dyDescent="0.3">
      <c r="A55" s="14"/>
      <c r="B55" s="14"/>
      <c r="C55" s="14"/>
      <c r="D55" s="14"/>
      <c r="E55" s="164"/>
      <c r="F55" s="164"/>
      <c r="G55" s="137"/>
      <c r="H55" s="164"/>
      <c r="J55" s="126" t="s">
        <v>103</v>
      </c>
      <c r="K55" s="173">
        <v>3000</v>
      </c>
      <c r="L55">
        <v>4</v>
      </c>
      <c r="M55" s="170">
        <f t="shared" si="4"/>
        <v>12000</v>
      </c>
    </row>
    <row r="56" spans="1:13" ht="17.25" x14ac:dyDescent="0.3">
      <c r="A56" s="1"/>
      <c r="B56" s="61"/>
      <c r="C56" s="4"/>
      <c r="D56" s="1"/>
      <c r="E56" s="60"/>
      <c r="F56" s="60"/>
      <c r="G56" s="3"/>
      <c r="H56" s="60">
        <v>880000</v>
      </c>
      <c r="J56" s="126" t="s">
        <v>104</v>
      </c>
      <c r="K56" s="173">
        <v>5000</v>
      </c>
      <c r="L56">
        <v>2</v>
      </c>
      <c r="M56" s="170">
        <f t="shared" si="4"/>
        <v>10000</v>
      </c>
    </row>
    <row r="57" spans="1:13" ht="17.25" x14ac:dyDescent="0.3">
      <c r="A57" s="1"/>
      <c r="B57" s="61"/>
      <c r="F57" s="60"/>
      <c r="G57" s="3"/>
      <c r="H57" s="60"/>
      <c r="J57" s="126" t="s">
        <v>105</v>
      </c>
      <c r="K57" s="173">
        <v>8000</v>
      </c>
      <c r="L57">
        <v>1</v>
      </c>
      <c r="M57" s="170">
        <f t="shared" si="4"/>
        <v>8000</v>
      </c>
    </row>
    <row r="58" spans="1:13" ht="17.25" x14ac:dyDescent="0.3">
      <c r="A58" s="1"/>
      <c r="J58" s="126" t="s">
        <v>109</v>
      </c>
      <c r="K58" s="173">
        <v>5000</v>
      </c>
      <c r="L58">
        <v>1</v>
      </c>
      <c r="M58" s="170">
        <f t="shared" si="4"/>
        <v>5000</v>
      </c>
    </row>
    <row r="59" spans="1:13" ht="18" thickBot="1" x14ac:dyDescent="0.35">
      <c r="A59" s="1"/>
      <c r="B59" s="1"/>
      <c r="C59" s="1"/>
      <c r="D59" s="1" t="s">
        <v>175</v>
      </c>
      <c r="E59" s="60"/>
      <c r="F59" s="60"/>
      <c r="G59" s="3"/>
      <c r="H59" s="60"/>
      <c r="J59" s="126" t="s">
        <v>106</v>
      </c>
      <c r="K59" s="173">
        <v>2000</v>
      </c>
      <c r="L59">
        <v>1</v>
      </c>
      <c r="M59" s="170">
        <f t="shared" si="4"/>
        <v>2000</v>
      </c>
    </row>
    <row r="60" spans="1:13" ht="18" thickBot="1" x14ac:dyDescent="0.35">
      <c r="A60" s="1"/>
      <c r="B60" s="1"/>
      <c r="C60" s="1"/>
      <c r="D60" s="1"/>
      <c r="E60" s="129"/>
      <c r="F60" s="62" t="s">
        <v>3</v>
      </c>
      <c r="G60" s="63">
        <f>SUM(G55:G58)</f>
        <v>0</v>
      </c>
      <c r="H60" s="98">
        <f>SUM(H55:H59)</f>
        <v>880000</v>
      </c>
      <c r="J60" s="126" t="s">
        <v>107</v>
      </c>
      <c r="K60" s="173">
        <v>7000</v>
      </c>
      <c r="L60">
        <v>1</v>
      </c>
      <c r="M60" s="170">
        <f t="shared" si="4"/>
        <v>7000</v>
      </c>
    </row>
    <row r="61" spans="1:13" ht="15.75" thickBot="1" x14ac:dyDescent="0.3">
      <c r="J61" s="126" t="s">
        <v>108</v>
      </c>
      <c r="K61" s="173">
        <v>15000</v>
      </c>
      <c r="L61">
        <v>1</v>
      </c>
      <c r="M61" s="170">
        <f t="shared" si="4"/>
        <v>15000</v>
      </c>
    </row>
    <row r="62" spans="1:13" ht="19.5" thickBot="1" x14ac:dyDescent="0.35">
      <c r="A62" s="228" t="s">
        <v>37</v>
      </c>
      <c r="B62" s="214"/>
      <c r="C62" s="214"/>
      <c r="D62" s="214"/>
      <c r="E62" s="301">
        <f>H60</f>
        <v>880000</v>
      </c>
      <c r="F62" s="302"/>
      <c r="G62" s="302"/>
      <c r="H62" s="303"/>
      <c r="I62" s="1"/>
      <c r="J62" s="168"/>
      <c r="K62" s="127"/>
      <c r="L62" s="127"/>
      <c r="M62" s="171">
        <f>SUM(M54:M61)</f>
        <v>79000</v>
      </c>
    </row>
    <row r="63" spans="1:13" ht="18.75" x14ac:dyDescent="0.3">
      <c r="A63" s="216" t="s">
        <v>89</v>
      </c>
      <c r="B63" s="215"/>
      <c r="C63" s="215"/>
      <c r="D63" s="215"/>
      <c r="E63" s="304" t="s">
        <v>163</v>
      </c>
      <c r="F63" s="304"/>
      <c r="G63" s="304"/>
      <c r="H63" s="304"/>
    </row>
    <row r="64" spans="1:13" ht="15.75" thickBot="1" x14ac:dyDescent="0.3"/>
    <row r="65" spans="1:10" ht="20.25" thickBot="1" x14ac:dyDescent="0.3">
      <c r="A65" s="227" t="s">
        <v>46</v>
      </c>
      <c r="B65" s="59"/>
      <c r="C65" s="59"/>
      <c r="D65" s="59"/>
      <c r="E65" s="59"/>
      <c r="F65" s="59"/>
      <c r="G65" s="59"/>
      <c r="H65" s="142"/>
    </row>
    <row r="67" spans="1:10" ht="17.25" x14ac:dyDescent="0.25">
      <c r="A67" s="139" t="s">
        <v>23</v>
      </c>
      <c r="B67" s="140"/>
      <c r="C67" s="140"/>
      <c r="D67" s="141"/>
      <c r="E67" s="230">
        <f>IF($E$63="Medium",IF($E$62&gt;Data!D48,IF($E$62&gt;Data!D49,IF($E$62&gt;Data!D50,IF($E$62&gt;Data!D51,IF($E$62&gt;Data!D52,IF($E$62&gt;Data!D53,IF($E$62&gt;Data!D54,IF($E$62&gt;Data!D55,IF($E$62&gt;Data!D56,IF($E$62&gt;Data!D57,IF($E$62&gt;Data!D58,Data!E59,Data!E58),Data!E57),Data!E56),Data!E55),Data!E54),Data!E53),Data!E52),Data!E51),Data!E50),Data!E49),Data!E48),IF($E$63="High",(IF($E$62&gt;Data!D29,IF($E$62&gt;Data!D30,IF($E$62&gt;Data!D31,IF($E$62&gt;Data!D32,IF($E$62&gt;Data!D33,IF($E$62&gt;Data!D34,IF($E$62&gt;Data!D35,IF($E$62&gt;Data!D36,IF($E$62&gt;Data!D37,IF($E$62&gt;Data!D38,IF($E$62&gt;Data!D39,Data!E40,Data!E39),Data!E37),Data!E36),Data!E35),Data!E34),Data!E33),Data!E52),Data!E32),Data!E31),Data!E30),Data!E29)),IF($E$63="Low",(IF($E$62&gt;Data!D67,IF($E$62&gt;Data!D68,IF($E$62&gt;Data!D69,IF($E$62&gt;Data!D70,IF($E$62&gt;Data!D71,IF($E$62&gt;Data!D72,IF($E$62&gt;Data!D73,IF($E$62&gt;Data!D74,IF($E$62&gt;Data!D75,IF($E$62&gt;Data!D76,IF($E$62&gt;Data!D77,Data!E78,Data!E77),Data!E76),Data!E75),Data!E74),Data!E73),Data!E72),Data!E71),Data!E70),Data!E69),Data!E68),Data!E67)))))</f>
        <v>131870.39000000001</v>
      </c>
      <c r="F67" s="144"/>
      <c r="G67" s="144"/>
      <c r="H67" s="145"/>
    </row>
    <row r="68" spans="1:10" ht="17.25" x14ac:dyDescent="0.25">
      <c r="A68" s="149" t="s">
        <v>51</v>
      </c>
      <c r="B68" s="61"/>
      <c r="C68" s="61"/>
      <c r="D68" s="150"/>
      <c r="E68" s="231">
        <f>IF($E$63="Medium",($E$62-(VLOOKUP($E$67,Data!E48:G59,3,FALSE)))*(VLOOKUP($E$67,Data!E48:G59,2,FALSE)),IF($E$63="High",($E$62-(VLOOKUP($E$67,Data!E29:G40,3,FALSE)))*(VLOOKUP($E$67,Data!E29:G40,2,FALSE)),IF($E$63="Low",($E$62-(VLOOKUP($E$67,Data!E66:G78,3,FALSE)))*(VLOOKUP($E$67,Data!E66:G78,2,FALSE)))))</f>
        <v>30842.865900000001</v>
      </c>
      <c r="F68" s="79"/>
      <c r="G68" s="79"/>
      <c r="H68" s="154"/>
    </row>
    <row r="69" spans="1:10" ht="17.25" x14ac:dyDescent="0.25">
      <c r="A69" s="149"/>
      <c r="B69" s="61"/>
      <c r="C69" s="61"/>
      <c r="D69" s="150"/>
      <c r="E69" s="231">
        <f>E67+E68</f>
        <v>162713.25590000002</v>
      </c>
      <c r="F69" s="79"/>
      <c r="G69" s="79"/>
      <c r="H69" s="154"/>
    </row>
    <row r="70" spans="1:10" ht="17.25" x14ac:dyDescent="0.25">
      <c r="A70" s="149" t="s">
        <v>54</v>
      </c>
      <c r="B70" s="61"/>
      <c r="C70" s="61"/>
      <c r="D70" s="150"/>
      <c r="E70" s="232">
        <v>0</v>
      </c>
      <c r="F70" s="4"/>
      <c r="G70" s="4"/>
      <c r="H70" s="157"/>
    </row>
    <row r="71" spans="1:10" ht="18" x14ac:dyDescent="0.25">
      <c r="A71" s="151" t="s">
        <v>56</v>
      </c>
      <c r="B71" s="152"/>
      <c r="C71" s="152"/>
      <c r="D71" s="153"/>
      <c r="E71" s="233">
        <f>E69+E70</f>
        <v>162713.25590000002</v>
      </c>
      <c r="F71" s="155"/>
      <c r="G71" s="155"/>
      <c r="H71" s="156"/>
    </row>
    <row r="72" spans="1:10" ht="15.75" thickBot="1" x14ac:dyDescent="0.3"/>
    <row r="73" spans="1:10" ht="19.5" thickBot="1" x14ac:dyDescent="0.35">
      <c r="A73" s="229" t="s">
        <v>38</v>
      </c>
      <c r="B73" s="158"/>
      <c r="C73" s="158"/>
      <c r="D73" s="159"/>
      <c r="E73" s="117" t="s">
        <v>39</v>
      </c>
      <c r="F73" s="117" t="s">
        <v>128</v>
      </c>
      <c r="G73" s="136" t="s">
        <v>68</v>
      </c>
      <c r="H73" s="117" t="s">
        <v>127</v>
      </c>
    </row>
    <row r="74" spans="1:10" ht="17.25" x14ac:dyDescent="0.3">
      <c r="A74" s="84" t="s">
        <v>168</v>
      </c>
      <c r="B74" s="137" t="s">
        <v>172</v>
      </c>
      <c r="C74" s="137"/>
      <c r="D74" s="137"/>
      <c r="E74" s="114">
        <v>0.02</v>
      </c>
      <c r="F74" s="83">
        <f>$E$71*E74</f>
        <v>3254.2651180000003</v>
      </c>
      <c r="G74" s="114">
        <v>0.3</v>
      </c>
      <c r="H74" s="115">
        <f>IF(G74=0,F74,F74-(F74*G74))</f>
        <v>2277.9855826000003</v>
      </c>
    </row>
    <row r="75" spans="1:10" ht="17.25" x14ac:dyDescent="0.3">
      <c r="A75" s="88" t="s">
        <v>167</v>
      </c>
      <c r="B75" s="3" t="s">
        <v>170</v>
      </c>
      <c r="C75" s="3"/>
      <c r="D75" s="3"/>
      <c r="E75" s="257">
        <v>0.15</v>
      </c>
      <c r="F75" s="5">
        <f t="shared" ref="F75:F80" si="5">$E$71*E75</f>
        <v>24406.988385000001</v>
      </c>
      <c r="G75" s="257">
        <v>0.3</v>
      </c>
      <c r="H75" s="87">
        <f t="shared" ref="H75:H80" si="6">IF(G75=0,F75,F75-(F75*G75))</f>
        <v>17084.891869499999</v>
      </c>
    </row>
    <row r="76" spans="1:10" ht="17.25" x14ac:dyDescent="0.3">
      <c r="A76" s="88" t="s">
        <v>166</v>
      </c>
      <c r="B76" s="3" t="s">
        <v>169</v>
      </c>
      <c r="C76" s="3"/>
      <c r="D76" s="3"/>
      <c r="E76" s="257">
        <v>0.2</v>
      </c>
      <c r="F76" s="5">
        <f t="shared" si="5"/>
        <v>32542.651180000004</v>
      </c>
      <c r="G76" s="257">
        <v>0.3</v>
      </c>
      <c r="H76" s="87">
        <f t="shared" si="6"/>
        <v>22779.855826000003</v>
      </c>
      <c r="J76" s="267"/>
    </row>
    <row r="77" spans="1:10" ht="17.25" x14ac:dyDescent="0.3">
      <c r="A77" s="88" t="s">
        <v>47</v>
      </c>
      <c r="B77" s="3" t="s">
        <v>48</v>
      </c>
      <c r="C77" s="3"/>
      <c r="D77" s="3"/>
      <c r="E77" s="257">
        <v>0.1</v>
      </c>
      <c r="F77" s="5">
        <f t="shared" si="5"/>
        <v>16271.325590000002</v>
      </c>
      <c r="G77" s="257">
        <v>0.2</v>
      </c>
      <c r="H77" s="87">
        <f t="shared" si="6"/>
        <v>13017.060472000001</v>
      </c>
      <c r="J77" s="267"/>
    </row>
    <row r="78" spans="1:10" ht="17.25" x14ac:dyDescent="0.3">
      <c r="A78" s="88" t="s">
        <v>59</v>
      </c>
      <c r="B78" s="3" t="s">
        <v>49</v>
      </c>
      <c r="C78" s="3"/>
      <c r="D78" s="3"/>
      <c r="E78" s="257">
        <v>0.2</v>
      </c>
      <c r="F78" s="5">
        <f t="shared" si="5"/>
        <v>32542.651180000004</v>
      </c>
      <c r="G78" s="257">
        <v>0.2</v>
      </c>
      <c r="H78" s="87">
        <f>IF(G78=0,F78,F78-(F78*G78))</f>
        <v>26034.120944000002</v>
      </c>
      <c r="J78" s="267"/>
    </row>
    <row r="79" spans="1:10" ht="17.25" x14ac:dyDescent="0.3">
      <c r="A79" s="88" t="s">
        <v>52</v>
      </c>
      <c r="B79" s="3" t="s">
        <v>171</v>
      </c>
      <c r="C79" s="3"/>
      <c r="D79" s="3"/>
      <c r="E79" s="257">
        <v>0.3</v>
      </c>
      <c r="F79" s="5">
        <f t="shared" si="5"/>
        <v>48813.976770000001</v>
      </c>
      <c r="G79" s="257">
        <v>0</v>
      </c>
      <c r="H79" s="87">
        <f>IF(G79=0,F79,F79-(F79*G79))</f>
        <v>48813.976770000001</v>
      </c>
      <c r="J79" s="267"/>
    </row>
    <row r="80" spans="1:10" ht="18" thickBot="1" x14ac:dyDescent="0.35">
      <c r="A80" s="89" t="s">
        <v>165</v>
      </c>
      <c r="B80" s="138" t="s">
        <v>164</v>
      </c>
      <c r="C80" s="138"/>
      <c r="D80" s="138"/>
      <c r="E80" s="116">
        <v>0.03</v>
      </c>
      <c r="F80" s="85">
        <f t="shared" si="5"/>
        <v>4881.3976769999999</v>
      </c>
      <c r="G80" s="116">
        <v>0</v>
      </c>
      <c r="H80" s="86">
        <f t="shared" si="6"/>
        <v>4881.3976769999999</v>
      </c>
      <c r="J80" s="268"/>
    </row>
    <row r="81" spans="1:13" ht="18" thickBot="1" x14ac:dyDescent="0.35">
      <c r="A81" s="1"/>
      <c r="B81" s="1"/>
      <c r="C81" s="1"/>
      <c r="F81" s="1"/>
      <c r="G81" s="3"/>
      <c r="H81" s="1"/>
    </row>
    <row r="82" spans="1:13" ht="19.5" thickBot="1" x14ac:dyDescent="0.35">
      <c r="A82" s="1"/>
      <c r="B82" s="1"/>
      <c r="C82" s="1"/>
      <c r="E82" s="298" t="s">
        <v>96</v>
      </c>
      <c r="F82" s="299"/>
      <c r="G82" s="300"/>
      <c r="H82" s="122">
        <f>H83*(1-(SUM(H74:H80)/H83))</f>
        <v>27823.966758900009</v>
      </c>
    </row>
    <row r="83" spans="1:13" ht="19.5" thickBot="1" x14ac:dyDescent="0.35">
      <c r="B83" s="118"/>
      <c r="C83" s="118"/>
      <c r="E83" s="298" t="s">
        <v>55</v>
      </c>
      <c r="F83" s="299"/>
      <c r="G83" s="300"/>
      <c r="H83" s="122">
        <f>SUM(F74:F80)</f>
        <v>162713.25590000002</v>
      </c>
    </row>
    <row r="84" spans="1:13" ht="15.75" thickBot="1" x14ac:dyDescent="0.3"/>
    <row r="85" spans="1:13" ht="18.75" thickBot="1" x14ac:dyDescent="0.3">
      <c r="E85" s="310" t="s">
        <v>124</v>
      </c>
      <c r="F85" s="311"/>
      <c r="G85" s="312"/>
      <c r="H85" s="119">
        <f>H83-H82</f>
        <v>134889.28914110002</v>
      </c>
      <c r="J85">
        <v>297</v>
      </c>
      <c r="K85">
        <f>J85*30</f>
        <v>8910</v>
      </c>
    </row>
    <row r="86" spans="1:13" ht="17.25" x14ac:dyDescent="0.3">
      <c r="A86" s="1"/>
      <c r="B86" s="256"/>
      <c r="C86" s="202"/>
      <c r="D86" s="202"/>
      <c r="E86" s="60"/>
      <c r="F86" s="184"/>
      <c r="G86" s="4"/>
      <c r="H86" s="79"/>
    </row>
    <row r="87" spans="1:13" ht="17.25" x14ac:dyDescent="0.3">
      <c r="D87" s="1"/>
      <c r="E87" s="60"/>
      <c r="F87" s="60"/>
      <c r="G87" s="3"/>
      <c r="H87" s="60"/>
      <c r="K87" s="94"/>
    </row>
    <row r="88" spans="1:13" ht="17.25" x14ac:dyDescent="0.3">
      <c r="D88" s="308" t="s">
        <v>173</v>
      </c>
      <c r="E88" s="309"/>
      <c r="F88" s="269">
        <f>COUNT(D93:E98)</f>
        <v>4</v>
      </c>
      <c r="G88" s="259"/>
      <c r="H88" s="260">
        <f>SUM(H79:H80)/F88</f>
        <v>13423.84361175</v>
      </c>
    </row>
    <row r="89" spans="1:13" ht="17.25" x14ac:dyDescent="0.3">
      <c r="D89" s="1"/>
      <c r="E89" s="1"/>
      <c r="F89" s="1"/>
      <c r="G89" s="1"/>
      <c r="H89" s="1"/>
    </row>
    <row r="90" spans="1:13" ht="17.25" x14ac:dyDescent="0.3">
      <c r="D90" s="308" t="s">
        <v>176</v>
      </c>
      <c r="E90" s="309"/>
      <c r="F90" s="266">
        <f>H90/850</f>
        <v>0.78963785951470589</v>
      </c>
      <c r="G90" s="261"/>
      <c r="H90" s="260">
        <f>H88/20</f>
        <v>671.19218058750005</v>
      </c>
      <c r="M90" s="173"/>
    </row>
    <row r="91" spans="1:13" ht="17.25" x14ac:dyDescent="0.3">
      <c r="D91" s="1"/>
      <c r="E91" s="1"/>
      <c r="F91" s="1"/>
      <c r="G91" s="1"/>
      <c r="H91" s="1"/>
    </row>
    <row r="92" spans="1:13" ht="17.25" x14ac:dyDescent="0.3">
      <c r="D92" s="307" t="s">
        <v>159</v>
      </c>
      <c r="E92" s="305"/>
      <c r="F92" s="305" t="s">
        <v>160</v>
      </c>
      <c r="G92" s="305"/>
      <c r="H92" s="262" t="s">
        <v>161</v>
      </c>
    </row>
    <row r="93" spans="1:13" ht="17.25" x14ac:dyDescent="0.3">
      <c r="D93" s="293">
        <v>1</v>
      </c>
      <c r="E93" s="293"/>
      <c r="F93" s="306">
        <v>2</v>
      </c>
      <c r="G93" s="306"/>
      <c r="H93" s="263">
        <f>$H$88</f>
        <v>13423.84361175</v>
      </c>
    </row>
    <row r="94" spans="1:13" ht="17.25" x14ac:dyDescent="0.3">
      <c r="D94" s="306">
        <v>2</v>
      </c>
      <c r="E94" s="306"/>
      <c r="F94" s="306">
        <v>2</v>
      </c>
      <c r="G94" s="306"/>
      <c r="H94" s="263">
        <f t="shared" ref="H94:H96" si="7">$H$88</f>
        <v>13423.84361175</v>
      </c>
    </row>
    <row r="95" spans="1:13" ht="17.25" x14ac:dyDescent="0.3">
      <c r="D95" s="306">
        <v>3</v>
      </c>
      <c r="E95" s="306"/>
      <c r="F95" s="306">
        <v>4</v>
      </c>
      <c r="G95" s="306"/>
      <c r="H95" s="263">
        <f t="shared" si="7"/>
        <v>13423.84361175</v>
      </c>
    </row>
    <row r="96" spans="1:13" ht="17.25" x14ac:dyDescent="0.3">
      <c r="D96" s="306">
        <v>4</v>
      </c>
      <c r="E96" s="306"/>
      <c r="F96" s="306">
        <v>4</v>
      </c>
      <c r="G96" s="306"/>
      <c r="H96" s="263">
        <f t="shared" si="7"/>
        <v>13423.84361175</v>
      </c>
    </row>
    <row r="97" spans="4:14" ht="17.25" x14ac:dyDescent="0.3">
      <c r="D97" s="306"/>
      <c r="E97" s="306"/>
      <c r="F97" s="306"/>
      <c r="G97" s="306"/>
      <c r="H97" s="263"/>
    </row>
    <row r="98" spans="4:14" ht="17.25" x14ac:dyDescent="0.3">
      <c r="D98" s="306"/>
      <c r="E98" s="306"/>
      <c r="F98" s="306"/>
      <c r="G98" s="306"/>
      <c r="H98" s="263"/>
    </row>
    <row r="99" spans="4:14" ht="17.25" x14ac:dyDescent="0.3">
      <c r="D99" s="306"/>
      <c r="E99" s="306"/>
      <c r="F99" s="306"/>
      <c r="G99" s="306"/>
      <c r="H99" s="263"/>
    </row>
    <row r="101" spans="4:14" ht="22.5" customHeight="1" x14ac:dyDescent="0.3">
      <c r="D101" s="307" t="s">
        <v>174</v>
      </c>
      <c r="E101" s="305"/>
      <c r="F101" s="305"/>
      <c r="G101" s="305"/>
      <c r="H101" s="260">
        <f>SUM(H93:H98)</f>
        <v>53695.374447000002</v>
      </c>
    </row>
    <row r="102" spans="4:14" ht="17.25" x14ac:dyDescent="0.3">
      <c r="D102" s="3"/>
      <c r="E102" s="1"/>
      <c r="F102" s="1"/>
      <c r="G102" s="3"/>
      <c r="H102" s="263"/>
    </row>
    <row r="103" spans="4:14" ht="17.25" x14ac:dyDescent="0.3">
      <c r="D103" s="264" t="s">
        <v>162</v>
      </c>
      <c r="E103" s="259"/>
      <c r="F103" s="259"/>
      <c r="G103" s="259"/>
      <c r="H103" s="265">
        <f>SUM(F93:F96)</f>
        <v>12</v>
      </c>
      <c r="J103" s="258"/>
      <c r="L103" s="173"/>
    </row>
    <row r="104" spans="4:14" x14ac:dyDescent="0.25">
      <c r="L104" s="258"/>
      <c r="M104" s="173"/>
    </row>
    <row r="106" spans="4:14" x14ac:dyDescent="0.25">
      <c r="M106" s="94"/>
    </row>
    <row r="109" spans="4:14" x14ac:dyDescent="0.25">
      <c r="N109" s="173"/>
    </row>
    <row r="112" spans="4:14" x14ac:dyDescent="0.25">
      <c r="K112" s="121"/>
    </row>
    <row r="113" spans="4:11" x14ac:dyDescent="0.25">
      <c r="K113" s="120"/>
    </row>
    <row r="114" spans="4:11" x14ac:dyDescent="0.25">
      <c r="D114" s="297"/>
      <c r="E114" s="297"/>
    </row>
    <row r="115" spans="4:11" x14ac:dyDescent="0.25">
      <c r="D115" s="297"/>
      <c r="E115" s="297"/>
    </row>
    <row r="116" spans="4:11" x14ac:dyDescent="0.25">
      <c r="D116" s="297"/>
      <c r="E116" s="297"/>
    </row>
  </sheetData>
  <mergeCells count="34">
    <mergeCell ref="D90:E90"/>
    <mergeCell ref="J23:L23"/>
    <mergeCell ref="E62:H62"/>
    <mergeCell ref="A11:H11"/>
    <mergeCell ref="A13:C13"/>
    <mergeCell ref="A14:C14"/>
    <mergeCell ref="A15:B15"/>
    <mergeCell ref="J15:L15"/>
    <mergeCell ref="E63:H63"/>
    <mergeCell ref="E82:G82"/>
    <mergeCell ref="E83:G83"/>
    <mergeCell ref="E85:G85"/>
    <mergeCell ref="D88:E88"/>
    <mergeCell ref="D92:E92"/>
    <mergeCell ref="F92:G92"/>
    <mergeCell ref="D93:E93"/>
    <mergeCell ref="F93:G93"/>
    <mergeCell ref="D94:E94"/>
    <mergeCell ref="F94:G94"/>
    <mergeCell ref="D95:E95"/>
    <mergeCell ref="F95:G95"/>
    <mergeCell ref="D96:E96"/>
    <mergeCell ref="F96:G96"/>
    <mergeCell ref="D97:E97"/>
    <mergeCell ref="F97:G97"/>
    <mergeCell ref="D114:E114"/>
    <mergeCell ref="D115:E115"/>
    <mergeCell ref="D116:E116"/>
    <mergeCell ref="D98:E98"/>
    <mergeCell ref="F98:G98"/>
    <mergeCell ref="D99:E99"/>
    <mergeCell ref="F99:G99"/>
    <mergeCell ref="D101:E101"/>
    <mergeCell ref="F101:G101"/>
  </mergeCells>
  <phoneticPr fontId="25" type="noConversion"/>
  <dataValidations disablePrompts="1" count="2">
    <dataValidation type="list" allowBlank="1" showInputMessage="1" showErrorMessage="1" sqref="D39:D41 D44:D46 D22:D25 D16:D20 D27:D28" xr:uid="{C59AC45A-36C6-42B4-B117-4A53BA6E46DB}">
      <formula1>"Dewald, Hannes, Johan"</formula1>
    </dataValidation>
    <dataValidation type="list" allowBlank="1" showInputMessage="1" showErrorMessage="1" sqref="E63" xr:uid="{470D043C-A134-4CF4-AED7-E5C44A026038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40" t="s">
        <v>158</v>
      </c>
      <c r="B1" s="244" t="s">
        <v>153</v>
      </c>
      <c r="C1" s="244" t="s">
        <v>151</v>
      </c>
      <c r="D1" s="244" t="s">
        <v>155</v>
      </c>
      <c r="E1" s="243" t="s">
        <v>152</v>
      </c>
      <c r="F1" s="244" t="s">
        <v>113</v>
      </c>
    </row>
    <row r="2" spans="1:10" x14ac:dyDescent="0.25">
      <c r="A2" s="235" t="s">
        <v>131</v>
      </c>
      <c r="B2" s="245">
        <v>1</v>
      </c>
      <c r="C2" s="245">
        <v>2</v>
      </c>
      <c r="D2" s="245">
        <f>C2*B2</f>
        <v>2</v>
      </c>
      <c r="E2" s="236">
        <v>650</v>
      </c>
      <c r="F2" s="248">
        <f>(B2*C2)*E2</f>
        <v>1300</v>
      </c>
    </row>
    <row r="3" spans="1:10" x14ac:dyDescent="0.25">
      <c r="A3" s="237" t="s">
        <v>133</v>
      </c>
      <c r="B3" s="246">
        <v>1</v>
      </c>
      <c r="C3" s="246">
        <v>2</v>
      </c>
      <c r="D3" s="246">
        <f t="shared" ref="D3:D18" si="0">C3*B3</f>
        <v>2</v>
      </c>
      <c r="E3" s="173">
        <v>650</v>
      </c>
      <c r="F3" s="249">
        <f t="shared" ref="F3:F18" si="1">(B3*C3)*E3</f>
        <v>1300</v>
      </c>
    </row>
    <row r="4" spans="1:10" x14ac:dyDescent="0.25">
      <c r="A4" s="237" t="s">
        <v>139</v>
      </c>
      <c r="B4" s="246">
        <v>2</v>
      </c>
      <c r="C4" s="246">
        <v>2</v>
      </c>
      <c r="D4" s="246">
        <f t="shared" si="0"/>
        <v>4</v>
      </c>
      <c r="E4" s="173">
        <v>650</v>
      </c>
      <c r="F4" s="249">
        <f t="shared" si="1"/>
        <v>2600</v>
      </c>
    </row>
    <row r="5" spans="1:10" x14ac:dyDescent="0.25">
      <c r="A5" s="237" t="s">
        <v>132</v>
      </c>
      <c r="B5" s="246">
        <v>93</v>
      </c>
      <c r="C5" s="246">
        <v>0.05</v>
      </c>
      <c r="D5" s="246">
        <f t="shared" si="0"/>
        <v>4.6500000000000004</v>
      </c>
      <c r="E5" s="173">
        <v>650</v>
      </c>
      <c r="F5" s="249">
        <f t="shared" si="1"/>
        <v>3022.5000000000005</v>
      </c>
      <c r="J5" s="173"/>
    </row>
    <row r="6" spans="1:10" x14ac:dyDescent="0.25">
      <c r="A6" s="237" t="s">
        <v>134</v>
      </c>
      <c r="B6" s="246">
        <v>20</v>
      </c>
      <c r="C6" s="246">
        <v>0.15</v>
      </c>
      <c r="D6" s="246">
        <f t="shared" si="0"/>
        <v>3</v>
      </c>
      <c r="E6" s="173">
        <v>650</v>
      </c>
      <c r="F6" s="249">
        <f t="shared" si="1"/>
        <v>1950</v>
      </c>
    </row>
    <row r="7" spans="1:10" x14ac:dyDescent="0.25">
      <c r="A7" s="237" t="s">
        <v>140</v>
      </c>
      <c r="B7" s="246">
        <v>1</v>
      </c>
      <c r="C7" s="246">
        <v>0.25</v>
      </c>
      <c r="D7" s="246">
        <f t="shared" si="0"/>
        <v>0.25</v>
      </c>
      <c r="E7" s="173">
        <v>650</v>
      </c>
      <c r="F7" s="249">
        <f t="shared" si="1"/>
        <v>162.5</v>
      </c>
    </row>
    <row r="8" spans="1:10" x14ac:dyDescent="0.25">
      <c r="A8" s="237" t="s">
        <v>141</v>
      </c>
      <c r="B8" s="246">
        <v>1</v>
      </c>
      <c r="C8" s="246">
        <v>0.25</v>
      </c>
      <c r="D8" s="246">
        <f t="shared" si="0"/>
        <v>0.25</v>
      </c>
      <c r="E8" s="173">
        <v>650</v>
      </c>
      <c r="F8" s="249">
        <f t="shared" si="1"/>
        <v>162.5</v>
      </c>
    </row>
    <row r="9" spans="1:10" x14ac:dyDescent="0.25">
      <c r="A9" s="237" t="s">
        <v>142</v>
      </c>
      <c r="B9" s="246">
        <v>1</v>
      </c>
      <c r="C9" s="246">
        <v>0.25</v>
      </c>
      <c r="D9" s="246">
        <f t="shared" si="0"/>
        <v>0.25</v>
      </c>
      <c r="E9" s="173">
        <v>650</v>
      </c>
      <c r="F9" s="249">
        <f t="shared" si="1"/>
        <v>162.5</v>
      </c>
    </row>
    <row r="10" spans="1:10" x14ac:dyDescent="0.25">
      <c r="A10" s="237" t="s">
        <v>143</v>
      </c>
      <c r="B10" s="246">
        <v>1</v>
      </c>
      <c r="C10" s="246">
        <v>1</v>
      </c>
      <c r="D10" s="246">
        <f t="shared" si="0"/>
        <v>1</v>
      </c>
      <c r="E10" s="173">
        <v>650</v>
      </c>
      <c r="F10" s="249">
        <f t="shared" si="1"/>
        <v>650</v>
      </c>
    </row>
    <row r="11" spans="1:10" x14ac:dyDescent="0.25">
      <c r="A11" s="237" t="s">
        <v>144</v>
      </c>
      <c r="B11" s="246">
        <v>1</v>
      </c>
      <c r="C11" s="246">
        <v>1</v>
      </c>
      <c r="D11" s="246">
        <f t="shared" si="0"/>
        <v>1</v>
      </c>
      <c r="E11" s="173">
        <v>650</v>
      </c>
      <c r="F11" s="249">
        <f t="shared" si="1"/>
        <v>650</v>
      </c>
    </row>
    <row r="12" spans="1:10" x14ac:dyDescent="0.25">
      <c r="A12" s="237" t="s">
        <v>145</v>
      </c>
      <c r="B12" s="246">
        <v>1</v>
      </c>
      <c r="C12" s="246">
        <v>1</v>
      </c>
      <c r="D12" s="246">
        <f t="shared" si="0"/>
        <v>1</v>
      </c>
      <c r="E12" s="173">
        <v>650</v>
      </c>
      <c r="F12" s="249">
        <f t="shared" si="1"/>
        <v>650</v>
      </c>
    </row>
    <row r="13" spans="1:10" x14ac:dyDescent="0.25">
      <c r="A13" s="237" t="s">
        <v>154</v>
      </c>
      <c r="B13" s="246">
        <v>1</v>
      </c>
      <c r="C13" s="246">
        <v>2</v>
      </c>
      <c r="D13" s="246">
        <f t="shared" si="0"/>
        <v>2</v>
      </c>
      <c r="E13" s="173">
        <v>650</v>
      </c>
      <c r="F13" s="249">
        <f t="shared" si="1"/>
        <v>1300</v>
      </c>
      <c r="J13" s="234"/>
    </row>
    <row r="14" spans="1:10" x14ac:dyDescent="0.25">
      <c r="A14" s="237" t="s">
        <v>146</v>
      </c>
      <c r="B14" s="246">
        <v>1</v>
      </c>
      <c r="C14" s="246">
        <v>2</v>
      </c>
      <c r="D14" s="246">
        <f t="shared" si="0"/>
        <v>2</v>
      </c>
      <c r="E14" s="173">
        <v>650</v>
      </c>
      <c r="F14" s="249">
        <f t="shared" si="1"/>
        <v>1300</v>
      </c>
    </row>
    <row r="15" spans="1:10" x14ac:dyDescent="0.25">
      <c r="A15" s="237" t="s">
        <v>147</v>
      </c>
      <c r="B15" s="246">
        <v>1</v>
      </c>
      <c r="C15" s="246">
        <v>2</v>
      </c>
      <c r="D15" s="246">
        <f t="shared" si="0"/>
        <v>2</v>
      </c>
      <c r="E15" s="173">
        <v>650</v>
      </c>
      <c r="F15" s="249">
        <f t="shared" si="1"/>
        <v>1300</v>
      </c>
    </row>
    <row r="16" spans="1:10" x14ac:dyDescent="0.25">
      <c r="A16" s="237" t="s">
        <v>148</v>
      </c>
      <c r="B16" s="246">
        <v>2</v>
      </c>
      <c r="C16" s="246">
        <v>2</v>
      </c>
      <c r="D16" s="246">
        <f t="shared" si="0"/>
        <v>4</v>
      </c>
      <c r="E16" s="173">
        <v>650</v>
      </c>
      <c r="F16" s="249">
        <f t="shared" si="1"/>
        <v>2600</v>
      </c>
    </row>
    <row r="17" spans="1:8" x14ac:dyDescent="0.25">
      <c r="A17" s="237" t="s">
        <v>149</v>
      </c>
      <c r="B17" s="246">
        <v>1</v>
      </c>
      <c r="C17" s="246">
        <v>1</v>
      </c>
      <c r="D17" s="246">
        <f t="shared" si="0"/>
        <v>1</v>
      </c>
      <c r="E17" s="173">
        <v>650</v>
      </c>
      <c r="F17" s="249">
        <f t="shared" si="1"/>
        <v>650</v>
      </c>
    </row>
    <row r="18" spans="1:8" x14ac:dyDescent="0.25">
      <c r="A18" s="238" t="s">
        <v>150</v>
      </c>
      <c r="B18" s="247">
        <v>1</v>
      </c>
      <c r="C18" s="247">
        <v>2</v>
      </c>
      <c r="D18" s="247">
        <f t="shared" si="0"/>
        <v>2</v>
      </c>
      <c r="E18" s="239">
        <v>650</v>
      </c>
      <c r="F18" s="250">
        <f t="shared" si="1"/>
        <v>1300</v>
      </c>
      <c r="H18" s="97"/>
    </row>
    <row r="19" spans="1:8" x14ac:dyDescent="0.25">
      <c r="A19" s="253"/>
      <c r="B19" s="254"/>
      <c r="C19" s="254"/>
      <c r="D19" s="254">
        <f>SUM(D2:D18)</f>
        <v>32.4</v>
      </c>
      <c r="E19" s="255">
        <f>AVERAGE(E2:E18)</f>
        <v>650</v>
      </c>
      <c r="F19" s="252">
        <f>SUM(F2:F18)</f>
        <v>21060</v>
      </c>
      <c r="G19" s="173"/>
    </row>
    <row r="21" spans="1:8" x14ac:dyDescent="0.25">
      <c r="A21" s="240" t="s">
        <v>157</v>
      </c>
      <c r="B21" s="241"/>
      <c r="C21" s="241"/>
      <c r="D21" s="241"/>
      <c r="E21" s="241"/>
      <c r="F21" s="242">
        <f>D19</f>
        <v>32.4</v>
      </c>
    </row>
    <row r="22" spans="1:8" x14ac:dyDescent="0.25">
      <c r="A22" s="240" t="s">
        <v>156</v>
      </c>
      <c r="B22" s="241"/>
      <c r="C22" s="241"/>
      <c r="D22" s="241"/>
      <c r="E22" s="241"/>
      <c r="F22" s="242">
        <f>F21/8</f>
        <v>4.05</v>
      </c>
    </row>
    <row r="25" spans="1:8" x14ac:dyDescent="0.25">
      <c r="A25" s="251" t="s">
        <v>136</v>
      </c>
    </row>
    <row r="26" spans="1:8" x14ac:dyDescent="0.25">
      <c r="A26" t="s">
        <v>135</v>
      </c>
    </row>
    <row r="27" spans="1:8" x14ac:dyDescent="0.25">
      <c r="A27" t="s">
        <v>137</v>
      </c>
    </row>
    <row r="28" spans="1:8" x14ac:dyDescent="0.25">
      <c r="A28" t="s">
        <v>138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76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90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89</v>
      </c>
      <c r="C10" s="3" t="s">
        <v>163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315" t="s">
        <v>46</v>
      </c>
      <c r="C13" s="316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313" t="s">
        <v>55</v>
      </c>
      <c r="O14" s="314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317" t="s">
        <v>20</v>
      </c>
      <c r="C24" s="317"/>
      <c r="D24" s="317"/>
      <c r="E24" s="317"/>
      <c r="F24" s="317"/>
      <c r="G24" s="317"/>
    </row>
    <row r="25" spans="2:12" x14ac:dyDescent="0.3">
      <c r="B25" s="318" t="s">
        <v>21</v>
      </c>
      <c r="C25" s="318" t="s">
        <v>22</v>
      </c>
      <c r="D25" s="318"/>
      <c r="E25" s="318" t="s">
        <v>23</v>
      </c>
      <c r="F25" s="318" t="s">
        <v>24</v>
      </c>
      <c r="G25" s="318"/>
      <c r="J25" s="189" t="s">
        <v>91</v>
      </c>
      <c r="K25" s="190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1">
        <f>VLOOKUP(K25,E29:G40,2,FALSE)</f>
        <v>0.1361</v>
      </c>
    </row>
    <row r="26" spans="2:12" x14ac:dyDescent="0.3">
      <c r="B26" s="318"/>
      <c r="C26" s="10"/>
      <c r="D26" s="10"/>
      <c r="E26" s="318"/>
      <c r="F26" s="10"/>
      <c r="G26" s="10"/>
      <c r="J26" s="77" t="s">
        <v>95</v>
      </c>
      <c r="K26" s="5">
        <f>K25+L27</f>
        <v>450550.3639</v>
      </c>
      <c r="L26" s="192">
        <f>VLOOKUP(K25,E29:G40,3,FALSE)</f>
        <v>2000001</v>
      </c>
    </row>
    <row r="27" spans="2:12" x14ac:dyDescent="0.3">
      <c r="B27" s="318"/>
      <c r="C27" s="10" t="s">
        <v>25</v>
      </c>
      <c r="D27" s="10" t="s">
        <v>26</v>
      </c>
      <c r="E27" s="318"/>
      <c r="F27" s="10" t="s">
        <v>27</v>
      </c>
      <c r="G27" s="10" t="s">
        <v>28</v>
      </c>
      <c r="J27" s="193"/>
      <c r="K27" s="194" t="s">
        <v>121</v>
      </c>
      <c r="L27" s="195">
        <f>(C9-L26)*L25</f>
        <v>86287.263900000005</v>
      </c>
    </row>
    <row r="28" spans="2:12" x14ac:dyDescent="0.3">
      <c r="B28" s="318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85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3" t="s">
        <v>24</v>
      </c>
      <c r="G44" s="204"/>
      <c r="J44" s="189" t="s">
        <v>91</v>
      </c>
      <c r="K44" s="190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1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95</v>
      </c>
      <c r="K45" s="5">
        <f>K44+L46</f>
        <v>387001.32310000004</v>
      </c>
      <c r="L45" s="192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3"/>
      <c r="K46" s="194" t="s">
        <v>121</v>
      </c>
      <c r="L46" s="195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85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86"/>
      <c r="D60" s="187"/>
      <c r="E60" s="186"/>
      <c r="F60" s="188"/>
      <c r="G60" s="186"/>
      <c r="L60" s="56"/>
    </row>
    <row r="61" spans="2:12" x14ac:dyDescent="0.3">
      <c r="K61" s="91"/>
      <c r="L61" s="64"/>
    </row>
    <row r="62" spans="2:12" x14ac:dyDescent="0.3">
      <c r="B62" s="58" t="s">
        <v>120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3" t="s">
        <v>24</v>
      </c>
      <c r="G63" s="204"/>
      <c r="J63" s="189" t="s">
        <v>91</v>
      </c>
      <c r="K63" s="190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1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95</v>
      </c>
      <c r="K64" s="5">
        <f>K63+L65</f>
        <v>323452.27230000001</v>
      </c>
      <c r="L64" s="192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3"/>
      <c r="K65" s="194" t="s">
        <v>121</v>
      </c>
      <c r="L65" s="195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85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2023-12-01T14:05:37Z</dcterms:modified>
</cp:coreProperties>
</file>