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22_Gary &amp; Laurel McBirnie\"/>
    </mc:Choice>
  </mc:AlternateContent>
  <xr:revisionPtr revIDLastSave="0" documentId="13_ncr:1_{8ACE3068-5BB3-4142-B587-B7686E2ACEFA}" xr6:coauthVersionLast="47" xr6:coauthVersionMax="47" xr10:uidLastSave="{00000000-0000-0000-0000-000000000000}"/>
  <bookViews>
    <workbookView xWindow="-120" yWindow="-120" windowWidth="29040" windowHeight="15720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5" l="1"/>
  <c r="H43" i="5" s="1"/>
  <c r="F42" i="5"/>
  <c r="H42" i="5" s="1"/>
  <c r="F41" i="5"/>
  <c r="H41" i="5" s="1"/>
  <c r="F40" i="5"/>
  <c r="H40" i="5" s="1"/>
  <c r="F39" i="5"/>
  <c r="H39" i="5" s="1"/>
  <c r="H38" i="5"/>
  <c r="H37" i="5"/>
  <c r="H36" i="5"/>
  <c r="H35" i="5"/>
  <c r="E16" i="5"/>
  <c r="E20" i="5"/>
  <c r="F16" i="3"/>
  <c r="F16" i="5"/>
  <c r="F20" i="5"/>
  <c r="F18" i="5"/>
  <c r="E18" i="5"/>
  <c r="F20" i="3"/>
  <c r="H100" i="5"/>
  <c r="F85" i="5"/>
  <c r="K82" i="5"/>
  <c r="M58" i="5"/>
  <c r="M57" i="5"/>
  <c r="H57" i="5"/>
  <c r="E59" i="5" s="1"/>
  <c r="G57" i="5"/>
  <c r="M56" i="5"/>
  <c r="M55" i="5"/>
  <c r="M54" i="5"/>
  <c r="M53" i="5"/>
  <c r="M52" i="5"/>
  <c r="M51" i="5"/>
  <c r="K36" i="5"/>
  <c r="G15" i="5"/>
  <c r="M15" i="5" s="1"/>
  <c r="G15" i="3"/>
  <c r="F18" i="3"/>
  <c r="H18" i="3" s="1"/>
  <c r="F19" i="3"/>
  <c r="E18" i="3"/>
  <c r="F17" i="3"/>
  <c r="K78" i="3"/>
  <c r="H96" i="3"/>
  <c r="F81" i="3"/>
  <c r="M59" i="5" l="1"/>
  <c r="H33" i="5"/>
  <c r="H44" i="5" s="1"/>
  <c r="H46" i="5" s="1"/>
  <c r="H16" i="5"/>
  <c r="H20" i="5"/>
  <c r="H18" i="5"/>
  <c r="F15" i="5"/>
  <c r="E64" i="5"/>
  <c r="E65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4" i="5" s="1"/>
  <c r="H25" i="5" s="1"/>
  <c r="H26" i="5" s="1"/>
  <c r="E66" i="5"/>
  <c r="E68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F77" i="5" l="1"/>
  <c r="H77" i="5" s="1"/>
  <c r="F76" i="5"/>
  <c r="H76" i="5" s="1"/>
  <c r="F74" i="5"/>
  <c r="H74" i="5" s="1"/>
  <c r="F72" i="5"/>
  <c r="H72" i="5" s="1"/>
  <c r="F75" i="5"/>
  <c r="H75" i="5" s="1"/>
  <c r="F73" i="5"/>
  <c r="H73" i="5" s="1"/>
  <c r="F71" i="5"/>
  <c r="J24" i="5"/>
  <c r="M19" i="5"/>
  <c r="L63" i="2"/>
  <c r="H33" i="3"/>
  <c r="H40" i="3" s="1"/>
  <c r="H42" i="3" s="1"/>
  <c r="L64" i="2"/>
  <c r="H53" i="3"/>
  <c r="M55" i="3"/>
  <c r="F15" i="3"/>
  <c r="H21" i="1"/>
  <c r="M15" i="3"/>
  <c r="H85" i="5" l="1"/>
  <c r="H91" i="5" s="1"/>
  <c r="H80" i="5"/>
  <c r="H71" i="5"/>
  <c r="K24" i="5"/>
  <c r="L24" i="5" s="1"/>
  <c r="L35" i="5"/>
  <c r="L34" i="5"/>
  <c r="L3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H92" i="5" l="1"/>
  <c r="H87" i="5"/>
  <c r="F87" i="5" s="1"/>
  <c r="H93" i="5"/>
  <c r="H90" i="5"/>
  <c r="L36" i="5"/>
  <c r="N24" i="5"/>
  <c r="M24" i="5" s="1"/>
  <c r="H79" i="5"/>
  <c r="H82" i="5" s="1"/>
  <c r="E62" i="3"/>
  <c r="E64" i="3" s="1"/>
  <c r="E20" i="1"/>
  <c r="E19" i="1"/>
  <c r="G19" i="1" s="1"/>
  <c r="K25" i="2"/>
  <c r="K44" i="2"/>
  <c r="H98" i="5" l="1"/>
  <c r="M26" i="5"/>
  <c r="M28" i="5" s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<sst xmlns="http://schemas.openxmlformats.org/spreadsheetml/2006/main" count="376" uniqueCount="189">
  <si>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</si>
  <si>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</si>
  <si>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</si>
  <si>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</si>
  <si>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</si>
  <si>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</si>
  <si>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</si>
  <si>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</si>
  <si>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</si>
  <si>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</si>
  <si>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</si>
  <si>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</si>
  <si>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</si>
  <si>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</si>
  <si>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</si>
  <si>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</si>
  <si>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</si>
  <si>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</si>
  <si>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</si>
  <si>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</si>
  <si>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</si>
  <si>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</si>
  <si>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</si>
  <si>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</si>
  <si>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</si>
  <si>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</si>
  <si>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</si>
  <si>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</si>
  <si>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</si>
  <si>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</si>
  <si>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</si>
  <si>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</si>
  <si>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</si>
  <si>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</si>
  <si>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</si>
  <si>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</si>
  <si>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</si>
  <si>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</si>
  <si>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</si>
  <si>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</si>
  <si>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</si>
  <si>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</si>
  <si>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</si>
  <si>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</si>
  <si>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</si>
  <si>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</si>
  <si>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</si>
  <si>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</si>
  <si>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</si>
  <si>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</si>
  <si>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</si>
  <si>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</si>
  <si>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</si>
  <si>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</si>
  <si>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</si>
  <si>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</si>
  <si>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</si>
  <si>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</si>
  <si>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</si>
  <si>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</si>
  <si>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</si>
  <si>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</si>
  <si>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</si>
  <si>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</si>
  <si>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</si>
  <si>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</si>
  <si>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</si>
  <si>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</si>
  <si>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</si>
  <si>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</si>
  <si>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</si>
  <si>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</si>
  <si>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</si>
  <si>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</si>
  <si>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</si>
  <si>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</si>
  <si>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</si>
  <si>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</si>
  <si>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</si>
  <si>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</si>
  <si>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</si>
  <si>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</si>
  <si>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</si>
  <si>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</si>
  <si>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</si>
  <si>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</si>
  <si>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</si>
  <si>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</si>
  <si>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</si>
  <si>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</si>
  <si>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</si>
  <si>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</si>
  <si>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</si>
  <si>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</si>
  <si>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</si>
  <si>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</si>
  <si>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</si>
  <si>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</si>
  <si>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</si>
  <si>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</si>
  <si>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</si>
  <si>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</si>
  <si>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</si>
  <si>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</si>
  <si>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</si>
  <si>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</si>
  <si>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</si>
  <si>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</si>
  <si>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</si>
  <si>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</si>
  <si>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</si>
  <si>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</si>
  <si>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</si>
  <si>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</si>
  <si>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</si>
  <si>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</si>
  <si>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</si>
  <si>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</si>
  <si>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</si>
  <si>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</si>
  <si>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</si>
  <si>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</si>
  <si>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</si>
  <si>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</si>
  <si>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</si>
  <si>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</si>
  <si>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</si>
  <si>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</si>
  <si>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</si>
  <si>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</si>
  <si>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</si>
  <si>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</si>
  <si>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</si>
  <si>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</si>
  <si>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</si>
  <si>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</si>
  <si>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</si>
  <si>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</si>
  <si>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</si>
  <si>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</si>
  <si>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</si>
  <si>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</si>
  <si>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</si>
  <si>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</si>
  <si>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</si>
  <si>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</si>
  <si>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</si>
  <si>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</si>
  <si>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</si>
  <si>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</si>
  <si>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</si>
  <si>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</si>
  <si>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</si>
  <si>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</si>
  <si>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</si>
  <si>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</si>
  <si>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</si>
  <si>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</si>
  <si>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</si>
  <si>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</si>
  <si>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</si>
  <si>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</si>
  <si>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</si>
  <si>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</si>
  <si>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</si>
  <si>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</si>
  <si>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</si>
  <si>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</si>
  <si>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</si>
  <si>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</si>
  <si>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</si>
  <si>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</si>
  <si>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</si>
  <si>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</si>
  <si>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</si>
  <si>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</si>
  <si>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</si>
  <si>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</si>
  <si>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</si>
  <si>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</si>
  <si>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</si>
  <si>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</si>
  <si>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</si>
  <si>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As-built - SketchUp</t>
  </si>
  <si>
    <t>Site Inspection</t>
  </si>
  <si>
    <t>Design 1 - Pool extension</t>
  </si>
  <si>
    <t>Design 2 - Garage</t>
  </si>
  <si>
    <t>Design 3 - Lapa</t>
  </si>
  <si>
    <t>Design 4 -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</si>
</sst>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2" fontId="4" fillId="0" borderId="0" xfId="0" applyNumberFormat="1" applyFont="1" applyAlignme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G20" sqref="G20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73" t="s">
        <v>7</v>
      </c>
      <c r="B11" s="274"/>
      <c r="C11" s="274"/>
      <c r="D11" s="274"/>
      <c r="E11" s="274"/>
      <c r="F11" s="274"/>
      <c r="G11" s="274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277" t="s">
        <v>11</v>
      </c>
      <c r="F12" s="277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275" t="s">
        <v>8</v>
      </c>
      <c r="B17" s="275"/>
      <c r="C17" s="275"/>
      <c r="D17" s="275"/>
      <c r="E17" s="275"/>
      <c r="F17" s="275"/>
      <c r="G17" s="275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276">
        <f>G19*D19</f>
        <v>5376</v>
      </c>
      <c r="I19" s="276"/>
      <c r="J19" s="276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72">
        <f>G20*D20</f>
        <v>5000</v>
      </c>
      <c r="I20" s="272"/>
      <c r="J20" s="272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72">
        <f>G21*D21</f>
        <v>3160</v>
      </c>
      <c r="I21" s="272"/>
      <c r="J21" s="272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285" t="s">
        <v>14</v>
      </c>
      <c r="B11" s="286"/>
      <c r="C11" s="286"/>
      <c r="D11" s="286"/>
      <c r="E11" s="286"/>
      <c r="F11" s="286"/>
      <c r="G11" s="286"/>
      <c r="H11" s="287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8" t="s">
        <v>65</v>
      </c>
      <c r="B13" s="289"/>
      <c r="C13" s="290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91" t="s">
        <v>61</v>
      </c>
      <c r="B14" s="292"/>
      <c r="C14" s="292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94" t="s">
        <v>81</v>
      </c>
      <c r="B15" s="295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278" t="s">
        <v>75</v>
      </c>
      <c r="K15" s="279"/>
      <c r="L15" s="280"/>
      <c r="M15" s="166">
        <f>G15</f>
        <v>10.5</v>
      </c>
    </row>
    <row r="16" spans="1:13" ht="17.25" x14ac:dyDescent="0.3">
      <c r="A16" s="196" t="s">
        <v>180</v>
      </c>
      <c r="B16" s="284"/>
      <c r="C16" s="284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293" t="s">
        <v>177</v>
      </c>
      <c r="B17" s="293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293" t="s">
        <v>178</v>
      </c>
      <c r="B18" s="293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293" t="s">
        <v>181</v>
      </c>
      <c r="B19" s="293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281" t="s">
        <v>78</v>
      </c>
      <c r="K19" s="282"/>
      <c r="L19" s="283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293"/>
      <c r="B22" s="293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00">
        <f>H53</f>
        <v>880000</v>
      </c>
      <c r="F55" s="301"/>
      <c r="G55" s="301"/>
      <c r="H55" s="302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03" t="s">
        <v>163</v>
      </c>
      <c r="F56" s="303"/>
      <c r="G56" s="303"/>
      <c r="H56" s="303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97" t="s">
        <v>96</v>
      </c>
      <c r="F75" s="298"/>
      <c r="G75" s="299"/>
      <c r="H75" s="122">
        <f>H76*(1-(SUM(H67:H73)/H76))</f>
        <v>27823.966758900009</v>
      </c>
    </row>
    <row r="76" spans="1:11" ht="19.5" thickBot="1" x14ac:dyDescent="0.35">
      <c r="B76" s="118"/>
      <c r="C76" s="118"/>
      <c r="E76" s="297" t="s">
        <v>55</v>
      </c>
      <c r="F76" s="298"/>
      <c r="G76" s="299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09" t="s">
        <v>124</v>
      </c>
      <c r="F78" s="310"/>
      <c r="G78" s="311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07" t="s">
        <v>173</v>
      </c>
      <c r="E81" s="308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07" t="s">
        <v>176</v>
      </c>
      <c r="E83" s="308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06" t="s">
        <v>159</v>
      </c>
      <c r="E85" s="304"/>
      <c r="F85" s="304" t="s">
        <v>160</v>
      </c>
      <c r="G85" s="304"/>
      <c r="H85" s="262" t="s">
        <v>161</v>
      </c>
    </row>
    <row r="86" spans="4:13" ht="17.25" x14ac:dyDescent="0.3">
      <c r="D86" s="292">
        <v>1</v>
      </c>
      <c r="E86" s="292"/>
      <c r="F86" s="305">
        <v>2</v>
      </c>
      <c r="G86" s="305"/>
      <c r="H86" s="263">
        <f>$H$81</f>
        <v>13423.84361175</v>
      </c>
    </row>
    <row r="87" spans="4:13" ht="17.25" x14ac:dyDescent="0.3">
      <c r="D87" s="305">
        <v>2</v>
      </c>
      <c r="E87" s="305"/>
      <c r="F87" s="305">
        <v>2</v>
      </c>
      <c r="G87" s="305"/>
      <c r="H87" s="263">
        <f t="shared" ref="H87:H89" si="5">$H$81</f>
        <v>13423.84361175</v>
      </c>
    </row>
    <row r="88" spans="4:13" ht="17.25" x14ac:dyDescent="0.3">
      <c r="D88" s="305">
        <v>3</v>
      </c>
      <c r="E88" s="305"/>
      <c r="F88" s="305">
        <v>4</v>
      </c>
      <c r="G88" s="305"/>
      <c r="H88" s="263">
        <f t="shared" si="5"/>
        <v>13423.84361175</v>
      </c>
    </row>
    <row r="89" spans="4:13" ht="17.25" x14ac:dyDescent="0.3">
      <c r="D89" s="305">
        <v>4</v>
      </c>
      <c r="E89" s="305"/>
      <c r="F89" s="305">
        <v>4</v>
      </c>
      <c r="G89" s="305"/>
      <c r="H89" s="263">
        <f t="shared" si="5"/>
        <v>13423.84361175</v>
      </c>
    </row>
    <row r="90" spans="4:13" ht="17.25" x14ac:dyDescent="0.3">
      <c r="D90" s="305"/>
      <c r="E90" s="305"/>
      <c r="F90" s="305"/>
      <c r="G90" s="305"/>
      <c r="H90" s="263"/>
    </row>
    <row r="91" spans="4:13" ht="17.25" x14ac:dyDescent="0.3">
      <c r="D91" s="305"/>
      <c r="E91" s="305"/>
      <c r="F91" s="305"/>
      <c r="G91" s="305"/>
      <c r="H91" s="263"/>
    </row>
    <row r="92" spans="4:13" ht="17.25" x14ac:dyDescent="0.3">
      <c r="D92" s="305"/>
      <c r="E92" s="305"/>
      <c r="F92" s="305"/>
      <c r="G92" s="305"/>
      <c r="H92" s="263"/>
    </row>
    <row r="94" spans="4:13" ht="22.5" customHeight="1" x14ac:dyDescent="0.3">
      <c r="D94" s="306" t="s">
        <v>174</v>
      </c>
      <c r="E94" s="304"/>
      <c r="F94" s="304"/>
      <c r="G94" s="304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296"/>
      <c r="E107" s="296"/>
    </row>
    <row r="108" spans="4:14" x14ac:dyDescent="0.25">
      <c r="D108" s="296"/>
      <c r="E108" s="296"/>
    </row>
    <row r="109" spans="4:14" x14ac:dyDescent="0.25">
      <c r="D109" s="296"/>
      <c r="E109" s="296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N113"/>
  <sheetViews>
    <sheetView tabSelected="1" topLeftCell="A10" zoomScaleNormal="100" workbookViewId="0">
      <selection activeCell="A16" sqref="A1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285" t="s">
        <v>14</v>
      </c>
      <c r="B11" s="286"/>
      <c r="C11" s="286"/>
      <c r="D11" s="286"/>
      <c r="E11" s="286"/>
      <c r="F11" s="286"/>
      <c r="G11" s="286"/>
      <c r="H11" s="28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8" t="s">
        <v>65</v>
      </c>
      <c r="B13" s="289"/>
      <c r="C13" s="290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91" t="s">
        <v>61</v>
      </c>
      <c r="B14" s="292"/>
      <c r="C14" s="292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94" t="s">
        <v>81</v>
      </c>
      <c r="B15" s="295"/>
      <c r="C15" s="71"/>
      <c r="D15" s="71"/>
      <c r="E15" s="71"/>
      <c r="F15" s="76">
        <f>SUM(F16:F29)</f>
        <v>56</v>
      </c>
      <c r="G15" s="270">
        <f>SUM(G16:G22)</f>
        <v>7</v>
      </c>
      <c r="H15" s="201">
        <f>SUM(H16:H22)</f>
        <v>24336</v>
      </c>
      <c r="I15" s="1"/>
      <c r="J15" s="278" t="s">
        <v>75</v>
      </c>
      <c r="K15" s="279"/>
      <c r="L15" s="280"/>
      <c r="M15" s="166">
        <f>G15</f>
        <v>7</v>
      </c>
    </row>
    <row r="16" spans="1:13" ht="17.25" x14ac:dyDescent="0.3">
      <c r="A16" s="196" t="s">
        <v>180</v>
      </c>
      <c r="B16" s="271"/>
      <c r="C16" s="271"/>
      <c r="D16" s="60" t="s">
        <v>97</v>
      </c>
      <c r="E16" s="60">
        <f>IF(D16="Dewald", Employees!$G$20,IF(D16="Hannes",Employees!$G$19,IF(D16="Johan",Employees!$G$21,"")))</f>
        <v>672</v>
      </c>
      <c r="F16" s="3">
        <f>G16*8</f>
        <v>4</v>
      </c>
      <c r="G16" s="197">
        <v>0.5</v>
      </c>
      <c r="H16" s="199">
        <f>F16*E16</f>
        <v>2688</v>
      </c>
      <c r="I16" s="1"/>
      <c r="M16" s="3"/>
    </row>
    <row r="17" spans="1:14" ht="17.25" x14ac:dyDescent="0.3">
      <c r="A17" s="1"/>
      <c r="B17" s="1"/>
      <c r="C17" s="1"/>
      <c r="D17" s="60"/>
      <c r="E17" s="60"/>
      <c r="F17" s="3"/>
      <c r="G17" s="197"/>
      <c r="H17" s="199"/>
      <c r="I17" s="1"/>
      <c r="M17" s="3"/>
    </row>
    <row r="18" spans="1:14" ht="18" thickBot="1" x14ac:dyDescent="0.35">
      <c r="A18" s="1" t="s">
        <v>178</v>
      </c>
      <c r="B18" s="1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48</v>
      </c>
      <c r="G18" s="197">
        <v>6</v>
      </c>
      <c r="H18" s="199">
        <f t="shared" ref="H18" si="0">F18*E18</f>
        <v>18960</v>
      </c>
      <c r="I18" s="1"/>
      <c r="M18" s="3"/>
    </row>
    <row r="19" spans="1:14" ht="18" thickBot="1" x14ac:dyDescent="0.35">
      <c r="A19" s="1"/>
      <c r="B19" s="1"/>
      <c r="C19" s="1"/>
      <c r="D19" s="60"/>
      <c r="E19" s="60"/>
      <c r="F19" s="3"/>
      <c r="G19" s="197"/>
      <c r="H19" s="199"/>
      <c r="I19" s="1"/>
      <c r="J19" s="281" t="s">
        <v>78</v>
      </c>
      <c r="K19" s="282"/>
      <c r="L19" s="283"/>
      <c r="M19" s="110">
        <f>H26/M15</f>
        <v>3476.5714285714284</v>
      </c>
    </row>
    <row r="20" spans="1:14" ht="17.25" x14ac:dyDescent="0.3">
      <c r="A20" s="196" t="s">
        <v>179</v>
      </c>
      <c r="D20" s="60" t="s">
        <v>97</v>
      </c>
      <c r="E20" s="60">
        <f>IF(D20="Dewald", Employees!$G$20,IF(D20="Hannes",Employees!$G$19,IF(D20="Johan",Employees!$G$21,"")))</f>
        <v>672</v>
      </c>
      <c r="F20" s="3">
        <f>G20*8</f>
        <v>4</v>
      </c>
      <c r="G20" s="197">
        <v>0.5</v>
      </c>
      <c r="H20" s="199">
        <f>F20*E20</f>
        <v>2688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293"/>
      <c r="B22" s="293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24336</v>
      </c>
      <c r="I24" s="1"/>
      <c r="J24" s="111">
        <f>H26</f>
        <v>24336</v>
      </c>
      <c r="K24" s="60">
        <f>J24*0.05</f>
        <v>1216.8</v>
      </c>
      <c r="L24" s="60">
        <f>J24-K24</f>
        <v>23119.200000000001</v>
      </c>
      <c r="M24" s="111">
        <f>L24-N24</f>
        <v>13486.2</v>
      </c>
      <c r="N24" s="113">
        <f>L24/2.4</f>
        <v>9633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24336</v>
      </c>
      <c r="I26" s="1"/>
      <c r="J26" s="104" t="s">
        <v>85</v>
      </c>
      <c r="K26" s="95"/>
      <c r="L26" s="95"/>
      <c r="M26" s="112">
        <f>M24*0.15</f>
        <v>2022.93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11463.27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SUM(H35:H43)</f>
        <v>76740.7</v>
      </c>
      <c r="I33" s="1"/>
      <c r="J33" s="176" t="s">
        <v>114</v>
      </c>
      <c r="K33" s="177">
        <v>0.6</v>
      </c>
      <c r="L33" s="178">
        <f>J24*K33</f>
        <v>14601.6</v>
      </c>
    </row>
    <row r="34" spans="1:13" ht="17.25" x14ac:dyDescent="0.3">
      <c r="I34" s="1"/>
      <c r="J34" s="176" t="s">
        <v>115</v>
      </c>
      <c r="K34" s="177">
        <v>0.32</v>
      </c>
      <c r="L34" s="178">
        <f>J24*K34</f>
        <v>7787.52</v>
      </c>
    </row>
    <row r="35" spans="1:13" ht="18" thickBot="1" x14ac:dyDescent="0.35">
      <c r="A35" s="1" t="s">
        <v>185</v>
      </c>
      <c r="D35" s="60" t="s">
        <v>77</v>
      </c>
      <c r="E35" s="129">
        <v>250</v>
      </c>
      <c r="F35" s="1">
        <v>30</v>
      </c>
      <c r="H35" s="199">
        <f>F35*E35</f>
        <v>7500</v>
      </c>
      <c r="J35" s="179" t="s">
        <v>116</v>
      </c>
      <c r="K35" s="180">
        <v>0.08</v>
      </c>
      <c r="L35" s="181">
        <f>J24*K35</f>
        <v>1946.88</v>
      </c>
      <c r="M35" s="1"/>
    </row>
    <row r="36" spans="1:13" ht="18" thickBot="1" x14ac:dyDescent="0.35">
      <c r="A36" s="1" t="s">
        <v>186</v>
      </c>
      <c r="D36" s="60" t="s">
        <v>77</v>
      </c>
      <c r="E36" s="129">
        <v>250</v>
      </c>
      <c r="F36" s="1">
        <v>20</v>
      </c>
      <c r="H36" s="199">
        <f>F36*E36</f>
        <v>5000</v>
      </c>
      <c r="J36" s="182" t="s">
        <v>3</v>
      </c>
      <c r="K36" s="183">
        <f>SUM(K33:K35)</f>
        <v>0.99999999999999989</v>
      </c>
      <c r="L36" s="174">
        <f>SUM(L33:L35)</f>
        <v>24336.000000000004</v>
      </c>
      <c r="M36" s="1"/>
    </row>
    <row r="37" spans="1:13" ht="17.25" x14ac:dyDescent="0.3">
      <c r="A37" s="1" t="s">
        <v>187</v>
      </c>
      <c r="D37" s="60" t="s">
        <v>77</v>
      </c>
      <c r="E37" s="129">
        <v>250</v>
      </c>
      <c r="F37" s="1">
        <v>7</v>
      </c>
      <c r="H37" s="199">
        <f>F37*E37</f>
        <v>1750</v>
      </c>
      <c r="M37" s="1"/>
    </row>
    <row r="38" spans="1:13" ht="17.25" x14ac:dyDescent="0.3">
      <c r="A38" s="1" t="s">
        <v>188</v>
      </c>
      <c r="D38" s="60" t="s">
        <v>77</v>
      </c>
      <c r="E38" s="129">
        <v>250</v>
      </c>
      <c r="F38" s="1">
        <v>4</v>
      </c>
      <c r="H38" s="199">
        <f>F38*E38</f>
        <v>1000</v>
      </c>
      <c r="M38" s="1"/>
    </row>
    <row r="39" spans="1:13" ht="17.25" x14ac:dyDescent="0.3">
      <c r="A39" s="196" t="s">
        <v>183</v>
      </c>
      <c r="B39" s="196"/>
      <c r="C39" s="1"/>
      <c r="D39" s="60" t="s">
        <v>77</v>
      </c>
      <c r="E39" s="129">
        <v>15</v>
      </c>
      <c r="F39" s="1">
        <f>(438.18-30)</f>
        <v>408.18</v>
      </c>
      <c r="G39" s="70"/>
      <c r="H39" s="199">
        <f>F39*E39</f>
        <v>6122.7</v>
      </c>
      <c r="M39" s="1"/>
    </row>
    <row r="40" spans="1:13" ht="17.25" x14ac:dyDescent="0.3">
      <c r="A40" s="196" t="s">
        <v>122</v>
      </c>
      <c r="B40" s="196"/>
      <c r="C40" s="1"/>
      <c r="D40" s="60" t="s">
        <v>77</v>
      </c>
      <c r="E40" s="129">
        <v>100</v>
      </c>
      <c r="F40" s="1">
        <f>F39+F38+F37+F36+F35</f>
        <v>469.18</v>
      </c>
      <c r="G40" s="70"/>
      <c r="H40" s="199">
        <f>F40*E40</f>
        <v>46918</v>
      </c>
      <c r="M40" s="1"/>
    </row>
    <row r="41" spans="1:13" ht="17.25" x14ac:dyDescent="0.3">
      <c r="A41" s="196" t="s">
        <v>82</v>
      </c>
      <c r="B41" s="196"/>
      <c r="C41" s="1"/>
      <c r="D41" s="60" t="s">
        <v>77</v>
      </c>
      <c r="E41" s="129">
        <v>5.6</v>
      </c>
      <c r="F41" s="318">
        <f>G41/E41</f>
        <v>464.28571428571433</v>
      </c>
      <c r="G41" s="70">
        <v>2600</v>
      </c>
      <c r="H41" s="199">
        <f t="shared" ref="H39:H41" si="1">F41*E41</f>
        <v>2600</v>
      </c>
      <c r="M41" s="1"/>
    </row>
    <row r="42" spans="1:13" ht="17.25" x14ac:dyDescent="0.3">
      <c r="A42" s="196" t="s">
        <v>184</v>
      </c>
      <c r="B42" s="196"/>
      <c r="D42" s="60" t="s">
        <v>77</v>
      </c>
      <c r="E42" s="5">
        <v>5.6</v>
      </c>
      <c r="F42" s="318">
        <f>G42/E42</f>
        <v>464.28571428571433</v>
      </c>
      <c r="G42" s="70">
        <v>2600</v>
      </c>
      <c r="H42" s="199">
        <f>F42*E42</f>
        <v>2600</v>
      </c>
      <c r="M42" s="1"/>
    </row>
    <row r="43" spans="1:13" ht="17.25" x14ac:dyDescent="0.3">
      <c r="A43" s="196" t="s">
        <v>129</v>
      </c>
      <c r="B43" s="196"/>
      <c r="D43" s="60" t="s">
        <v>77</v>
      </c>
      <c r="E43" s="5">
        <v>7</v>
      </c>
      <c r="F43" s="318">
        <f>G43/E43</f>
        <v>464.28571428571428</v>
      </c>
      <c r="G43" s="1">
        <v>3250</v>
      </c>
      <c r="H43" s="199">
        <f>F43*E43</f>
        <v>3250</v>
      </c>
      <c r="M43" s="1"/>
    </row>
    <row r="44" spans="1:13" ht="18" x14ac:dyDescent="0.3">
      <c r="A44" s="73"/>
      <c r="C44" s="73"/>
      <c r="D44" s="73"/>
      <c r="F44" s="92" t="s">
        <v>123</v>
      </c>
      <c r="G44" s="73"/>
      <c r="H44" s="198">
        <f>H33</f>
        <v>76740.7</v>
      </c>
      <c r="J44" s="173"/>
      <c r="M44" s="1"/>
    </row>
    <row r="45" spans="1:13" ht="18.75" thickBot="1" x14ac:dyDescent="0.35">
      <c r="A45" s="73"/>
      <c r="B45" s="73"/>
      <c r="C45" s="73"/>
      <c r="E45" s="146"/>
      <c r="F45" s="92" t="s">
        <v>79</v>
      </c>
      <c r="G45" s="74">
        <v>0</v>
      </c>
      <c r="H45" s="4"/>
      <c r="J45" s="173"/>
      <c r="M45" s="1"/>
    </row>
    <row r="46" spans="1:13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76740.7</v>
      </c>
      <c r="L46" s="1"/>
      <c r="M46" s="94"/>
    </row>
    <row r="47" spans="1:13" ht="17.25" x14ac:dyDescent="0.3">
      <c r="A47" s="1"/>
      <c r="B47" s="1"/>
      <c r="C47" s="1"/>
      <c r="D47" s="1"/>
      <c r="E47" s="1"/>
      <c r="F47" s="1"/>
      <c r="G47" s="1"/>
      <c r="H47" s="1"/>
    </row>
    <row r="48" spans="1:13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  <c r="M48" s="1"/>
    </row>
    <row r="49" spans="1:13" ht="18" thickBot="1" x14ac:dyDescent="0.35">
      <c r="L49" s="1"/>
      <c r="M49" s="1"/>
    </row>
    <row r="50" spans="1:13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  <c r="J50" t="s">
        <v>110</v>
      </c>
      <c r="K50" t="s">
        <v>111</v>
      </c>
      <c r="L50" t="s">
        <v>112</v>
      </c>
      <c r="M50" t="s">
        <v>113</v>
      </c>
    </row>
    <row r="51" spans="1:13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  <c r="J51" s="167" t="s">
        <v>102</v>
      </c>
      <c r="K51" s="172">
        <v>20000</v>
      </c>
      <c r="L51" s="93">
        <v>1</v>
      </c>
      <c r="M51" s="169">
        <f t="shared" ref="M51:M58" si="2">K51*L51</f>
        <v>20000</v>
      </c>
    </row>
    <row r="52" spans="1:13" ht="17.25" x14ac:dyDescent="0.3">
      <c r="A52" s="14"/>
      <c r="B52" s="14"/>
      <c r="C52" s="14"/>
      <c r="D52" s="14"/>
      <c r="E52" s="164"/>
      <c r="F52" s="164"/>
      <c r="G52" s="137"/>
      <c r="H52" s="164"/>
      <c r="J52" s="126" t="s">
        <v>103</v>
      </c>
      <c r="K52" s="173">
        <v>3000</v>
      </c>
      <c r="L52">
        <v>4</v>
      </c>
      <c r="M52" s="170">
        <f t="shared" si="2"/>
        <v>12000</v>
      </c>
    </row>
    <row r="53" spans="1:13" ht="17.25" x14ac:dyDescent="0.3">
      <c r="A53" s="1"/>
      <c r="B53" s="61"/>
      <c r="C53" s="4"/>
      <c r="D53" s="1"/>
      <c r="E53" s="60"/>
      <c r="F53" s="60"/>
      <c r="G53" s="3"/>
      <c r="H53" s="60">
        <v>880000</v>
      </c>
      <c r="J53" s="126" t="s">
        <v>104</v>
      </c>
      <c r="K53" s="173">
        <v>5000</v>
      </c>
      <c r="L53">
        <v>2</v>
      </c>
      <c r="M53" s="170">
        <f t="shared" si="2"/>
        <v>10000</v>
      </c>
    </row>
    <row r="54" spans="1:13" ht="17.25" x14ac:dyDescent="0.3">
      <c r="A54" s="1"/>
      <c r="B54" s="61"/>
      <c r="F54" s="60"/>
      <c r="G54" s="3"/>
      <c r="H54" s="60"/>
      <c r="J54" s="126" t="s">
        <v>105</v>
      </c>
      <c r="K54" s="173">
        <v>8000</v>
      </c>
      <c r="L54">
        <v>1</v>
      </c>
      <c r="M54" s="170">
        <f t="shared" si="2"/>
        <v>8000</v>
      </c>
    </row>
    <row r="55" spans="1:13" ht="17.25" x14ac:dyDescent="0.3">
      <c r="A55" s="1"/>
      <c r="J55" s="126" t="s">
        <v>109</v>
      </c>
      <c r="K55" s="173">
        <v>5000</v>
      </c>
      <c r="L55">
        <v>1</v>
      </c>
      <c r="M55" s="170">
        <f t="shared" si="2"/>
        <v>5000</v>
      </c>
    </row>
    <row r="56" spans="1:13" ht="18" thickBot="1" x14ac:dyDescent="0.35">
      <c r="A56" s="1"/>
      <c r="B56" s="1"/>
      <c r="C56" s="1"/>
      <c r="D56" s="1" t="s">
        <v>175</v>
      </c>
      <c r="E56" s="60"/>
      <c r="F56" s="60"/>
      <c r="G56" s="3"/>
      <c r="H56" s="60"/>
      <c r="J56" s="126" t="s">
        <v>106</v>
      </c>
      <c r="K56" s="173">
        <v>2000</v>
      </c>
      <c r="L56">
        <v>1</v>
      </c>
      <c r="M56" s="170">
        <f t="shared" si="2"/>
        <v>2000</v>
      </c>
    </row>
    <row r="57" spans="1:13" ht="18" thickBot="1" x14ac:dyDescent="0.35">
      <c r="A57" s="1"/>
      <c r="B57" s="1"/>
      <c r="C57" s="1"/>
      <c r="D57" s="1"/>
      <c r="E57" s="129"/>
      <c r="F57" s="62" t="s">
        <v>3</v>
      </c>
      <c r="G57" s="63">
        <f>SUM(G52:G55)</f>
        <v>0</v>
      </c>
      <c r="H57" s="98">
        <f>SUM(H52:H56)</f>
        <v>880000</v>
      </c>
      <c r="J57" s="126" t="s">
        <v>107</v>
      </c>
      <c r="K57" s="173">
        <v>7000</v>
      </c>
      <c r="L57">
        <v>1</v>
      </c>
      <c r="M57" s="170">
        <f t="shared" si="2"/>
        <v>7000</v>
      </c>
    </row>
    <row r="58" spans="1:13" ht="15.75" thickBot="1" x14ac:dyDescent="0.3">
      <c r="J58" s="126" t="s">
        <v>108</v>
      </c>
      <c r="K58" s="173">
        <v>15000</v>
      </c>
      <c r="L58">
        <v>1</v>
      </c>
      <c r="M58" s="170">
        <f t="shared" si="2"/>
        <v>15000</v>
      </c>
    </row>
    <row r="59" spans="1:13" ht="19.5" thickBot="1" x14ac:dyDescent="0.35">
      <c r="A59" s="228" t="s">
        <v>37</v>
      </c>
      <c r="B59" s="214"/>
      <c r="C59" s="214"/>
      <c r="D59" s="214"/>
      <c r="E59" s="300">
        <f>H57</f>
        <v>880000</v>
      </c>
      <c r="F59" s="301"/>
      <c r="G59" s="301"/>
      <c r="H59" s="302"/>
      <c r="I59" s="1"/>
      <c r="J59" s="168"/>
      <c r="K59" s="127"/>
      <c r="L59" s="127"/>
      <c r="M59" s="171">
        <f>SUM(M51:M58)</f>
        <v>79000</v>
      </c>
    </row>
    <row r="60" spans="1:13" ht="18.75" x14ac:dyDescent="0.3">
      <c r="A60" s="216" t="s">
        <v>89</v>
      </c>
      <c r="B60" s="215"/>
      <c r="C60" s="215"/>
      <c r="D60" s="215"/>
      <c r="E60" s="303" t="s">
        <v>163</v>
      </c>
      <c r="F60" s="303"/>
      <c r="G60" s="303"/>
      <c r="H60" s="303"/>
    </row>
    <row r="61" spans="1:13" ht="15.75" thickBot="1" x14ac:dyDescent="0.3"/>
    <row r="62" spans="1:13" ht="20.25" thickBot="1" x14ac:dyDescent="0.3">
      <c r="A62" s="227" t="s">
        <v>46</v>
      </c>
      <c r="B62" s="59"/>
      <c r="C62" s="59"/>
      <c r="D62" s="59"/>
      <c r="E62" s="59"/>
      <c r="F62" s="59"/>
      <c r="G62" s="59"/>
      <c r="H62" s="142"/>
    </row>
    <row r="64" spans="1:13" ht="17.25" x14ac:dyDescent="0.25">
      <c r="A64" s="139" t="s">
        <v>23</v>
      </c>
      <c r="B64" s="140"/>
      <c r="C64" s="140"/>
      <c r="D64" s="141"/>
      <c r="E64" s="230">
        <f>IF($E$60="Medium",IF($E$59&gt;Data!D48,IF($E$59&gt;Data!D49,IF($E$59&gt;Data!D50,IF($E$59&gt;Data!D51,IF($E$59&gt;Data!D52,IF($E$59&gt;Data!D53,IF($E$59&gt;Data!D54,IF($E$59&gt;Data!D55,IF($E$59&gt;Data!D56,IF($E$59&gt;Data!D57,IF($E$59&gt;Data!D58,Data!E59,Data!E58),Data!E57),Data!E56),Data!E55),Data!E54),Data!E53),Data!E52),Data!E51),Data!E50),Data!E49),Data!E48),IF($E$60="High",(IF($E$59&gt;Data!D29,IF($E$59&gt;Data!D30,IF($E$59&gt;Data!D31,IF($E$59&gt;Data!D32,IF($E$59&gt;Data!D33,IF($E$59&gt;Data!D34,IF($E$59&gt;Data!D35,IF($E$59&gt;Data!D36,IF($E$59&gt;Data!D37,IF($E$59&gt;Data!D38,IF($E$59&gt;Data!D39,Data!E40,Data!E39),Data!E37),Data!E36),Data!E35),Data!E34),Data!E33),Data!E52),Data!E32),Data!E31),Data!E30),Data!E29)),IF($E$60="Low",(IF($E$59&gt;Data!D67,IF($E$59&gt;Data!D68,IF($E$59&gt;Data!D69,IF($E$59&gt;Data!D70,IF($E$59&gt;Data!D71,IF($E$59&gt;Data!D72,IF($E$59&gt;Data!D73,IF($E$59&gt;Data!D74,IF($E$59&gt;Data!D75,IF($E$59&gt;Data!D76,IF($E$59&gt;Data!D77,Data!E78,Data!E77),Data!E76),Data!E75),Data!E74),Data!E73),Data!E72),Data!E71),Data!E70),Data!E69),Data!E68),Data!E67)))))</f>
        <v>131870.39000000001</v>
      </c>
      <c r="F64" s="144"/>
      <c r="G64" s="144"/>
      <c r="H64" s="145"/>
    </row>
    <row r="65" spans="1:10" ht="17.25" x14ac:dyDescent="0.25">
      <c r="A65" s="149" t="s">
        <v>51</v>
      </c>
      <c r="B65" s="61"/>
      <c r="C65" s="61"/>
      <c r="D65" s="150"/>
      <c r="E65" s="231">
        <f>IF($E$60="Medium",($E$59-(VLOOKUP($E$64,Data!E48:G59,3,FALSE)))*(VLOOKUP($E$64,Data!E48:G59,2,FALSE)),IF($E$60="High",($E$59-(VLOOKUP($E$64,Data!E29:G40,3,FALSE)))*(VLOOKUP($E$64,Data!E29:G40,2,FALSE)),IF($E$60="Low",($E$59-(VLOOKUP($E$64,Data!E66:G78,3,FALSE)))*(VLOOKUP($E$64,Data!E66:G78,2,FALSE)))))</f>
        <v>30842.865900000001</v>
      </c>
      <c r="F65" s="79"/>
      <c r="G65" s="79"/>
      <c r="H65" s="154"/>
    </row>
    <row r="66" spans="1:10" ht="17.25" x14ac:dyDescent="0.25">
      <c r="A66" s="149"/>
      <c r="B66" s="61"/>
      <c r="C66" s="61"/>
      <c r="D66" s="150"/>
      <c r="E66" s="231">
        <f>E64+E65</f>
        <v>162713.25590000002</v>
      </c>
      <c r="F66" s="79"/>
      <c r="G66" s="79"/>
      <c r="H66" s="154"/>
    </row>
    <row r="67" spans="1:10" ht="17.25" x14ac:dyDescent="0.25">
      <c r="A67" s="149" t="s">
        <v>54</v>
      </c>
      <c r="B67" s="61"/>
      <c r="C67" s="61"/>
      <c r="D67" s="150"/>
      <c r="E67" s="232">
        <v>0</v>
      </c>
      <c r="F67" s="4"/>
      <c r="G67" s="4"/>
      <c r="H67" s="157"/>
    </row>
    <row r="68" spans="1:10" ht="18" x14ac:dyDescent="0.25">
      <c r="A68" s="151" t="s">
        <v>56</v>
      </c>
      <c r="B68" s="152"/>
      <c r="C68" s="152"/>
      <c r="D68" s="153"/>
      <c r="E68" s="233">
        <f>E66+E67</f>
        <v>162713.25590000002</v>
      </c>
      <c r="F68" s="155"/>
      <c r="G68" s="155"/>
      <c r="H68" s="156"/>
    </row>
    <row r="69" spans="1:10" ht="15.75" thickBot="1" x14ac:dyDescent="0.3"/>
    <row r="70" spans="1:10" ht="19.5" thickBot="1" x14ac:dyDescent="0.35">
      <c r="A70" s="229" t="s">
        <v>38</v>
      </c>
      <c r="B70" s="158"/>
      <c r="C70" s="158"/>
      <c r="D70" s="159"/>
      <c r="E70" s="117" t="s">
        <v>39</v>
      </c>
      <c r="F70" s="117" t="s">
        <v>128</v>
      </c>
      <c r="G70" s="136" t="s">
        <v>68</v>
      </c>
      <c r="H70" s="117" t="s">
        <v>127</v>
      </c>
    </row>
    <row r="71" spans="1:10" ht="17.25" x14ac:dyDescent="0.3">
      <c r="A71" s="84" t="s">
        <v>168</v>
      </c>
      <c r="B71" s="137" t="s">
        <v>172</v>
      </c>
      <c r="C71" s="137"/>
      <c r="D71" s="137"/>
      <c r="E71" s="114">
        <v>0.02</v>
      </c>
      <c r="F71" s="83">
        <f>$E$68*E71</f>
        <v>3254.2651180000003</v>
      </c>
      <c r="G71" s="114">
        <v>0.3</v>
      </c>
      <c r="H71" s="115">
        <f>IF(G71=0,F71,F71-(F71*G71))</f>
        <v>2277.9855826000003</v>
      </c>
    </row>
    <row r="72" spans="1:10" ht="17.25" x14ac:dyDescent="0.3">
      <c r="A72" s="88" t="s">
        <v>167</v>
      </c>
      <c r="B72" s="3" t="s">
        <v>170</v>
      </c>
      <c r="C72" s="3"/>
      <c r="D72" s="3"/>
      <c r="E72" s="257">
        <v>0.15</v>
      </c>
      <c r="F72" s="5">
        <f t="shared" ref="F72:F77" si="3">$E$68*E72</f>
        <v>24406.988385000001</v>
      </c>
      <c r="G72" s="257">
        <v>0.3</v>
      </c>
      <c r="H72" s="87">
        <f t="shared" ref="H72:H77" si="4">IF(G72=0,F72,F72-(F72*G72))</f>
        <v>17084.891869499999</v>
      </c>
    </row>
    <row r="73" spans="1:10" ht="17.25" x14ac:dyDescent="0.3">
      <c r="A73" s="88" t="s">
        <v>166</v>
      </c>
      <c r="B73" s="3" t="s">
        <v>169</v>
      </c>
      <c r="C73" s="3"/>
      <c r="D73" s="3"/>
      <c r="E73" s="257">
        <v>0.2</v>
      </c>
      <c r="F73" s="5">
        <f t="shared" si="3"/>
        <v>32542.651180000004</v>
      </c>
      <c r="G73" s="257">
        <v>0.3</v>
      </c>
      <c r="H73" s="87">
        <f t="shared" si="4"/>
        <v>22779.855826000003</v>
      </c>
      <c r="J73" s="267"/>
    </row>
    <row r="74" spans="1:10" ht="17.25" x14ac:dyDescent="0.3">
      <c r="A74" s="88" t="s">
        <v>47</v>
      </c>
      <c r="B74" s="3" t="s">
        <v>48</v>
      </c>
      <c r="C74" s="3"/>
      <c r="D74" s="3"/>
      <c r="E74" s="257">
        <v>0.1</v>
      </c>
      <c r="F74" s="5">
        <f t="shared" si="3"/>
        <v>16271.325590000002</v>
      </c>
      <c r="G74" s="257">
        <v>0.2</v>
      </c>
      <c r="H74" s="87">
        <f t="shared" si="4"/>
        <v>13017.060472000001</v>
      </c>
      <c r="J74" s="267"/>
    </row>
    <row r="75" spans="1:10" ht="17.25" x14ac:dyDescent="0.3">
      <c r="A75" s="88" t="s">
        <v>59</v>
      </c>
      <c r="B75" s="3" t="s">
        <v>49</v>
      </c>
      <c r="C75" s="3"/>
      <c r="D75" s="3"/>
      <c r="E75" s="257">
        <v>0.2</v>
      </c>
      <c r="F75" s="5">
        <f t="shared" si="3"/>
        <v>32542.651180000004</v>
      </c>
      <c r="G75" s="257">
        <v>0.2</v>
      </c>
      <c r="H75" s="87">
        <f>IF(G75=0,F75,F75-(F75*G75))</f>
        <v>26034.120944000002</v>
      </c>
      <c r="J75" s="267"/>
    </row>
    <row r="76" spans="1:10" ht="17.25" x14ac:dyDescent="0.3">
      <c r="A76" s="88" t="s">
        <v>52</v>
      </c>
      <c r="B76" s="3" t="s">
        <v>171</v>
      </c>
      <c r="C76" s="3"/>
      <c r="D76" s="3"/>
      <c r="E76" s="257">
        <v>0.3</v>
      </c>
      <c r="F76" s="5">
        <f t="shared" si="3"/>
        <v>48813.976770000001</v>
      </c>
      <c r="G76" s="257">
        <v>0</v>
      </c>
      <c r="H76" s="87">
        <f>IF(G76=0,F76,F76-(F76*G76))</f>
        <v>48813.976770000001</v>
      </c>
      <c r="J76" s="267"/>
    </row>
    <row r="77" spans="1:10" ht="18" thickBot="1" x14ac:dyDescent="0.35">
      <c r="A77" s="89" t="s">
        <v>165</v>
      </c>
      <c r="B77" s="138" t="s">
        <v>164</v>
      </c>
      <c r="C77" s="138"/>
      <c r="D77" s="138"/>
      <c r="E77" s="116">
        <v>0.03</v>
      </c>
      <c r="F77" s="85">
        <f t="shared" si="3"/>
        <v>4881.3976769999999</v>
      </c>
      <c r="G77" s="116">
        <v>0</v>
      </c>
      <c r="H77" s="86">
        <f t="shared" si="4"/>
        <v>4881.3976769999999</v>
      </c>
      <c r="J77" s="268"/>
    </row>
    <row r="78" spans="1:10" ht="18" thickBot="1" x14ac:dyDescent="0.35">
      <c r="A78" s="1"/>
      <c r="B78" s="1"/>
      <c r="C78" s="1"/>
      <c r="F78" s="1"/>
      <c r="G78" s="3"/>
      <c r="H78" s="1"/>
    </row>
    <row r="79" spans="1:10" ht="19.5" thickBot="1" x14ac:dyDescent="0.35">
      <c r="A79" s="1"/>
      <c r="B79" s="1"/>
      <c r="C79" s="1"/>
      <c r="E79" s="297" t="s">
        <v>96</v>
      </c>
      <c r="F79" s="298"/>
      <c r="G79" s="299"/>
      <c r="H79" s="122">
        <f>H80*(1-(SUM(H71:H77)/H80))</f>
        <v>27823.966758900009</v>
      </c>
    </row>
    <row r="80" spans="1:10" ht="19.5" thickBot="1" x14ac:dyDescent="0.35">
      <c r="B80" s="118"/>
      <c r="C80" s="118"/>
      <c r="E80" s="297" t="s">
        <v>55</v>
      </c>
      <c r="F80" s="298"/>
      <c r="G80" s="299"/>
      <c r="H80" s="122">
        <f>SUM(F71:F77)</f>
        <v>162713.25590000002</v>
      </c>
    </row>
    <row r="81" spans="1:13" ht="15.75" thickBot="1" x14ac:dyDescent="0.3"/>
    <row r="82" spans="1:13" ht="18.75" thickBot="1" x14ac:dyDescent="0.3">
      <c r="E82" s="309" t="s">
        <v>124</v>
      </c>
      <c r="F82" s="310"/>
      <c r="G82" s="311"/>
      <c r="H82" s="119">
        <f>H80-H79</f>
        <v>134889.28914110002</v>
      </c>
      <c r="J82">
        <v>297</v>
      </c>
      <c r="K82">
        <f>J82*30</f>
        <v>8910</v>
      </c>
    </row>
    <row r="83" spans="1:13" ht="17.25" x14ac:dyDescent="0.3">
      <c r="A83" s="1"/>
      <c r="B83" s="256"/>
      <c r="C83" s="202"/>
      <c r="D83" s="202"/>
      <c r="E83" s="60"/>
      <c r="F83" s="184"/>
      <c r="G83" s="4"/>
      <c r="H83" s="79"/>
    </row>
    <row r="84" spans="1:13" ht="17.25" x14ac:dyDescent="0.3">
      <c r="D84" s="1"/>
      <c r="E84" s="60"/>
      <c r="F84" s="60"/>
      <c r="G84" s="3"/>
      <c r="H84" s="60"/>
      <c r="K84" s="94"/>
    </row>
    <row r="85" spans="1:13" ht="17.25" x14ac:dyDescent="0.3">
      <c r="D85" s="307" t="s">
        <v>173</v>
      </c>
      <c r="E85" s="308"/>
      <c r="F85" s="269">
        <f>COUNT(D90:E95)</f>
        <v>4</v>
      </c>
      <c r="G85" s="259"/>
      <c r="H85" s="260">
        <f>SUM(H76:H77)/F85</f>
        <v>13423.84361175</v>
      </c>
    </row>
    <row r="86" spans="1:13" ht="17.25" x14ac:dyDescent="0.3">
      <c r="D86" s="1"/>
      <c r="E86" s="1"/>
      <c r="F86" s="1"/>
      <c r="G86" s="1"/>
      <c r="H86" s="1"/>
    </row>
    <row r="87" spans="1:13" ht="17.25" x14ac:dyDescent="0.3">
      <c r="D87" s="307" t="s">
        <v>176</v>
      </c>
      <c r="E87" s="308"/>
      <c r="F87" s="266">
        <f>H87/850</f>
        <v>0.78963785951470589</v>
      </c>
      <c r="G87" s="261"/>
      <c r="H87" s="260">
        <f>H85/20</f>
        <v>671.19218058750005</v>
      </c>
      <c r="M87" s="173"/>
    </row>
    <row r="88" spans="1:13" ht="17.25" x14ac:dyDescent="0.3">
      <c r="D88" s="1"/>
      <c r="E88" s="1"/>
      <c r="F88" s="1"/>
      <c r="G88" s="1"/>
      <c r="H88" s="1"/>
    </row>
    <row r="89" spans="1:13" ht="17.25" x14ac:dyDescent="0.3">
      <c r="D89" s="306" t="s">
        <v>159</v>
      </c>
      <c r="E89" s="304"/>
      <c r="F89" s="304" t="s">
        <v>160</v>
      </c>
      <c r="G89" s="304"/>
      <c r="H89" s="262" t="s">
        <v>161</v>
      </c>
    </row>
    <row r="90" spans="1:13" ht="17.25" x14ac:dyDescent="0.3">
      <c r="D90" s="292">
        <v>1</v>
      </c>
      <c r="E90" s="292"/>
      <c r="F90" s="305">
        <v>2</v>
      </c>
      <c r="G90" s="305"/>
      <c r="H90" s="263">
        <f>$H$85</f>
        <v>13423.84361175</v>
      </c>
    </row>
    <row r="91" spans="1:13" ht="17.25" x14ac:dyDescent="0.3">
      <c r="D91" s="305">
        <v>2</v>
      </c>
      <c r="E91" s="305"/>
      <c r="F91" s="305">
        <v>2</v>
      </c>
      <c r="G91" s="305"/>
      <c r="H91" s="263">
        <f t="shared" ref="H91:H93" si="5">$H$85</f>
        <v>13423.84361175</v>
      </c>
    </row>
    <row r="92" spans="1:13" ht="17.25" x14ac:dyDescent="0.3">
      <c r="D92" s="305">
        <v>3</v>
      </c>
      <c r="E92" s="305"/>
      <c r="F92" s="305">
        <v>4</v>
      </c>
      <c r="G92" s="305"/>
      <c r="H92" s="263">
        <f t="shared" si="5"/>
        <v>13423.84361175</v>
      </c>
    </row>
    <row r="93" spans="1:13" ht="17.25" x14ac:dyDescent="0.3">
      <c r="D93" s="305">
        <v>4</v>
      </c>
      <c r="E93" s="305"/>
      <c r="F93" s="305">
        <v>4</v>
      </c>
      <c r="G93" s="305"/>
      <c r="H93" s="263">
        <f t="shared" si="5"/>
        <v>13423.84361175</v>
      </c>
    </row>
    <row r="94" spans="1:13" ht="17.25" x14ac:dyDescent="0.3">
      <c r="D94" s="305"/>
      <c r="E94" s="305"/>
      <c r="F94" s="305"/>
      <c r="G94" s="305"/>
      <c r="H94" s="263"/>
    </row>
    <row r="95" spans="1:13" ht="17.25" x14ac:dyDescent="0.3">
      <c r="D95" s="305"/>
      <c r="E95" s="305"/>
      <c r="F95" s="305"/>
      <c r="G95" s="305"/>
      <c r="H95" s="263"/>
    </row>
    <row r="96" spans="1:13" ht="17.25" x14ac:dyDescent="0.3">
      <c r="D96" s="305"/>
      <c r="E96" s="305"/>
      <c r="F96" s="305"/>
      <c r="G96" s="305"/>
      <c r="H96" s="263"/>
    </row>
    <row r="98" spans="4:14" ht="22.5" customHeight="1" x14ac:dyDescent="0.3">
      <c r="D98" s="306" t="s">
        <v>174</v>
      </c>
      <c r="E98" s="304"/>
      <c r="F98" s="304"/>
      <c r="G98" s="304"/>
      <c r="H98" s="260">
        <f>SUM(H90:H95)</f>
        <v>53695.374447000002</v>
      </c>
    </row>
    <row r="99" spans="4:14" ht="17.25" x14ac:dyDescent="0.3">
      <c r="D99" s="3"/>
      <c r="E99" s="1"/>
      <c r="F99" s="1"/>
      <c r="G99" s="3"/>
      <c r="H99" s="263"/>
    </row>
    <row r="100" spans="4:14" ht="17.25" x14ac:dyDescent="0.3">
      <c r="D100" s="264" t="s">
        <v>162</v>
      </c>
      <c r="E100" s="259"/>
      <c r="F100" s="259"/>
      <c r="G100" s="259"/>
      <c r="H100" s="265">
        <f>SUM(F90:F93)</f>
        <v>12</v>
      </c>
      <c r="J100" s="258"/>
      <c r="L100" s="173"/>
    </row>
    <row r="101" spans="4:14" x14ac:dyDescent="0.25">
      <c r="L101" s="258"/>
      <c r="M101" s="173"/>
    </row>
    <row r="103" spans="4:14" x14ac:dyDescent="0.25">
      <c r="M103" s="94"/>
    </row>
    <row r="106" spans="4:14" x14ac:dyDescent="0.25">
      <c r="N106" s="173"/>
    </row>
    <row r="109" spans="4:14" x14ac:dyDescent="0.25">
      <c r="K109" s="121"/>
    </row>
    <row r="110" spans="4:14" x14ac:dyDescent="0.25">
      <c r="K110" s="120"/>
    </row>
    <row r="111" spans="4:14" x14ac:dyDescent="0.25">
      <c r="D111" s="296"/>
      <c r="E111" s="296"/>
    </row>
    <row r="112" spans="4:14" x14ac:dyDescent="0.25">
      <c r="D112" s="296"/>
      <c r="E112" s="296"/>
    </row>
    <row r="113" spans="4:5" x14ac:dyDescent="0.25">
      <c r="D113" s="296"/>
      <c r="E113" s="296"/>
    </row>
  </sheetData>
  <mergeCells count="35">
    <mergeCell ref="D87:E87"/>
    <mergeCell ref="J19:L19"/>
    <mergeCell ref="A22:B22"/>
    <mergeCell ref="E59:H59"/>
    <mergeCell ref="A11:H11"/>
    <mergeCell ref="A13:C13"/>
    <mergeCell ref="A14:C14"/>
    <mergeCell ref="A15:B15"/>
    <mergeCell ref="J15:L15"/>
    <mergeCell ref="E60:H60"/>
    <mergeCell ref="E79:G79"/>
    <mergeCell ref="E80:G80"/>
    <mergeCell ref="E82:G82"/>
    <mergeCell ref="D85:E85"/>
    <mergeCell ref="D89:E89"/>
    <mergeCell ref="F89:G89"/>
    <mergeCell ref="D90:E90"/>
    <mergeCell ref="F90:G90"/>
    <mergeCell ref="D91:E91"/>
    <mergeCell ref="F91:G91"/>
    <mergeCell ref="D92:E92"/>
    <mergeCell ref="F92:G92"/>
    <mergeCell ref="D93:E93"/>
    <mergeCell ref="F93:G93"/>
    <mergeCell ref="D94:E94"/>
    <mergeCell ref="F94:G94"/>
    <mergeCell ref="D111:E111"/>
    <mergeCell ref="D112:E112"/>
    <mergeCell ref="D113:E113"/>
    <mergeCell ref="D95:E95"/>
    <mergeCell ref="F95:G95"/>
    <mergeCell ref="D96:E96"/>
    <mergeCell ref="F96:G96"/>
    <mergeCell ref="D98:E98"/>
    <mergeCell ref="F98:G98"/>
  </mergeCells>
  <phoneticPr fontId="25" type="noConversion"/>
  <dataValidations disablePrompts="1" count="2">
    <dataValidation type="list" allowBlank="1" showInputMessage="1" showErrorMessage="1" sqref="D16:D23 D35:D43" xr:uid="{C59AC45A-36C6-42B4-B117-4A53BA6E46DB}">
      <formula1>"Dewald, Hannes, Johan"</formula1>
    </dataValidation>
    <dataValidation type="list" allowBlank="1" showInputMessage="1" showErrorMessage="1" sqref="E60" xr:uid="{470D043C-A134-4CF4-AED7-E5C44A026038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14" t="s">
        <v>46</v>
      </c>
      <c r="C13" s="315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12" t="s">
        <v>55</v>
      </c>
      <c r="O14" s="313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16" t="s">
        <v>20</v>
      </c>
      <c r="C24" s="316"/>
      <c r="D24" s="316"/>
      <c r="E24" s="316"/>
      <c r="F24" s="316"/>
      <c r="G24" s="316"/>
    </row>
    <row r="25" spans="2:12" x14ac:dyDescent="0.3">
      <c r="B25" s="317" t="s">
        <v>21</v>
      </c>
      <c r="C25" s="317" t="s">
        <v>22</v>
      </c>
      <c r="D25" s="317"/>
      <c r="E25" s="317" t="s">
        <v>23</v>
      </c>
      <c r="F25" s="317" t="s">
        <v>24</v>
      </c>
      <c r="G25" s="317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17"/>
      <c r="C26" s="10"/>
      <c r="D26" s="10"/>
      <c r="E26" s="317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17"/>
      <c r="C27" s="10" t="s">
        <v>25</v>
      </c>
      <c r="D27" s="10" t="s">
        <v>26</v>
      </c>
      <c r="E27" s="317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17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2023-11-29T10:26:49Z</dcterms:modified>
</cp:coreProperties>
</file>